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5" documentId="13_ncr:1_{B6DC3FE8-B649-40FA-8D99-FE8939B07D04}" xr6:coauthVersionLast="47" xr6:coauthVersionMax="47" xr10:uidLastSave="{5B3B537E-B52C-401D-8E44-1F5FAD2F4393}"/>
  <workbookProtection workbookAlgorithmName="SHA-512" workbookHashValue="Ih9J7XgYqUnMSD/qE6LfBo9ZHkE4v0IxDRnKHnTZ9rCqUEWbpTeTQ/k29usx6whRWEcHpqpC+/iiQKr02FZzLg==" workbookSaltValue="XUUHOnuiPHqk0Rv/fT200A==" workbookSpinCount="100000" lockStructure="1"/>
  <bookViews>
    <workbookView xWindow="-108" yWindow="-108" windowWidth="23256" windowHeight="12576" xr2:uid="{00000000-000D-0000-FFFF-FFFF00000000}"/>
  </bookViews>
  <sheets>
    <sheet name="CompAirPrescriptive" sheetId="47" r:id="rId1"/>
    <sheet name="Version Control" sheetId="51" state="hidden" r:id="rId2"/>
    <sheet name="IncentiveTweak" sheetId="50" state="hidden" r:id="rId3"/>
    <sheet name="BackEnd" sheetId="48" state="hidden" r:id="rId4"/>
    <sheet name="Accessibility Disclaimer" sheetId="52" r:id="rId5"/>
  </sheets>
  <definedNames>
    <definedName name="_xlnm._FilterDatabase" localSheetId="3" hidden="1">BackEnd!#REF!</definedName>
    <definedName name="_xlnm.Print_Area" localSheetId="0">CompAirPrescriptive!$A$1:$H$90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7" l="1"/>
  <c r="J4" i="50" s="1"/>
  <c r="F14" i="47"/>
  <c r="F15" i="47"/>
  <c r="F16" i="47"/>
  <c r="F17" i="47"/>
  <c r="F22" i="47"/>
  <c r="F23" i="47"/>
  <c r="F24" i="47"/>
  <c r="F25" i="47"/>
  <c r="F26" i="47"/>
  <c r="F27" i="47"/>
  <c r="F28" i="47"/>
  <c r="F29" i="47"/>
  <c r="F50" i="47"/>
  <c r="F51" i="47"/>
  <c r="F52" i="47"/>
  <c r="F53" i="47"/>
  <c r="F54" i="47"/>
  <c r="F43" i="47"/>
  <c r="F44" i="47"/>
  <c r="F45" i="47"/>
  <c r="F35" i="47"/>
  <c r="F36" i="47"/>
  <c r="F37" i="47"/>
  <c r="L34" i="48"/>
  <c r="F63" i="47"/>
  <c r="F78" i="47" s="1"/>
  <c r="M89" i="48"/>
  <c r="M90" i="48"/>
  <c r="M91" i="48"/>
  <c r="M88" i="48"/>
  <c r="D77" i="48"/>
  <c r="B88" i="48" s="1"/>
  <c r="D88" i="48" s="1"/>
  <c r="D82" i="48"/>
  <c r="B85" i="48"/>
  <c r="D85" i="48"/>
  <c r="G77" i="48"/>
  <c r="D71" i="48"/>
  <c r="B77" i="48"/>
  <c r="A45" i="48"/>
  <c r="C45" i="48" s="1"/>
  <c r="B49" i="48" s="1"/>
  <c r="B51" i="48" s="1"/>
  <c r="E45" i="48"/>
  <c r="C49" i="48" s="1"/>
  <c r="C51" i="48" s="1"/>
  <c r="A44" i="48"/>
  <c r="C44" i="48" s="1"/>
  <c r="B48" i="48" s="1"/>
  <c r="B50" i="48" s="1"/>
  <c r="C126" i="48"/>
  <c r="B84" i="48"/>
  <c r="B71" i="48"/>
  <c r="B82" i="48" s="1"/>
  <c r="G78" i="48"/>
  <c r="C91" i="48" s="1"/>
  <c r="D91" i="48" s="1"/>
  <c r="F77" i="48"/>
  <c r="B90" i="48" s="1"/>
  <c r="D90" i="48" s="1"/>
  <c r="B91" i="48"/>
  <c r="C77" i="48"/>
  <c r="E77" i="48"/>
  <c r="A3" i="48"/>
  <c r="I6" i="50"/>
  <c r="I7" i="50"/>
  <c r="I8" i="50"/>
  <c r="I5" i="50"/>
  <c r="I4" i="50"/>
  <c r="I10" i="50"/>
  <c r="L10" i="50"/>
  <c r="I11" i="50"/>
  <c r="L11" i="50"/>
  <c r="M11" i="50" s="1"/>
  <c r="I9" i="50"/>
  <c r="L9" i="50"/>
  <c r="I12" i="50"/>
  <c r="K12" i="50" s="1"/>
  <c r="I13" i="50"/>
  <c r="A13" i="50"/>
  <c r="A12" i="50"/>
  <c r="A11" i="50"/>
  <c r="A10" i="50"/>
  <c r="A9" i="50"/>
  <c r="A8" i="50"/>
  <c r="A7" i="50"/>
  <c r="A6" i="50"/>
  <c r="A5" i="50"/>
  <c r="A4" i="50"/>
  <c r="A3" i="50"/>
  <c r="A2" i="50"/>
  <c r="A2" i="48"/>
  <c r="C94" i="48"/>
  <c r="D84" i="48"/>
  <c r="D83" i="48"/>
  <c r="F78" i="48"/>
  <c r="C90" i="48"/>
  <c r="E78" i="48"/>
  <c r="C89" i="48" s="1"/>
  <c r="D78" i="48"/>
  <c r="C88" i="48"/>
  <c r="C78" i="48"/>
  <c r="B78" i="48"/>
  <c r="A78" i="48"/>
  <c r="B89" i="48"/>
  <c r="D89" i="48" s="1"/>
  <c r="C71" i="48"/>
  <c r="B83" i="48"/>
  <c r="E44" i="48"/>
  <c r="D48" i="48" s="1"/>
  <c r="D50" i="48" s="1"/>
  <c r="L29" i="48"/>
  <c r="K41" i="48" s="1"/>
  <c r="K29" i="48"/>
  <c r="J41" i="48" s="1"/>
  <c r="J29" i="48"/>
  <c r="I41" i="48" s="1"/>
  <c r="I29" i="48"/>
  <c r="H41" i="48"/>
  <c r="H29" i="48"/>
  <c r="G41" i="48" s="1"/>
  <c r="G29" i="48"/>
  <c r="F41" i="48" s="1"/>
  <c r="F29" i="48"/>
  <c r="E41" i="48" s="1"/>
  <c r="E29" i="48"/>
  <c r="D41" i="48"/>
  <c r="D29" i="48"/>
  <c r="C41" i="48" s="1"/>
  <c r="C29" i="48"/>
  <c r="B41" i="48" s="1"/>
  <c r="L41" i="48" s="1"/>
  <c r="L28" i="48"/>
  <c r="K40" i="48" s="1"/>
  <c r="K28" i="48"/>
  <c r="J40" i="48"/>
  <c r="J28" i="48"/>
  <c r="I40" i="48" s="1"/>
  <c r="I28" i="48"/>
  <c r="H40" i="48" s="1"/>
  <c r="H28" i="48"/>
  <c r="G40" i="48" s="1"/>
  <c r="G28" i="48"/>
  <c r="F40" i="48"/>
  <c r="F28" i="48"/>
  <c r="E40" i="48" s="1"/>
  <c r="E28" i="48"/>
  <c r="D40" i="48" s="1"/>
  <c r="D28" i="48"/>
  <c r="C40" i="48" s="1"/>
  <c r="C28" i="48"/>
  <c r="B40" i="48"/>
  <c r="L27" i="48"/>
  <c r="K39" i="48" s="1"/>
  <c r="K27" i="48"/>
  <c r="J39" i="48" s="1"/>
  <c r="J27" i="48"/>
  <c r="I39" i="48" s="1"/>
  <c r="I27" i="48"/>
  <c r="H39" i="48"/>
  <c r="H27" i="48"/>
  <c r="G39" i="48" s="1"/>
  <c r="G27" i="48"/>
  <c r="F39" i="48" s="1"/>
  <c r="F27" i="48"/>
  <c r="E39" i="48" s="1"/>
  <c r="E27" i="48"/>
  <c r="D39" i="48"/>
  <c r="D27" i="48"/>
  <c r="C39" i="48" s="1"/>
  <c r="C27" i="48"/>
  <c r="B39" i="48" s="1"/>
  <c r="L26" i="48"/>
  <c r="K38" i="48" s="1"/>
  <c r="K26" i="48"/>
  <c r="J38" i="48"/>
  <c r="J26" i="48"/>
  <c r="I38" i="48" s="1"/>
  <c r="I26" i="48"/>
  <c r="H38" i="48" s="1"/>
  <c r="H26" i="48"/>
  <c r="G38" i="48" s="1"/>
  <c r="G26" i="48"/>
  <c r="F38" i="48"/>
  <c r="F26" i="48"/>
  <c r="E38" i="48" s="1"/>
  <c r="E26" i="48"/>
  <c r="D38" i="48" s="1"/>
  <c r="D26" i="48"/>
  <c r="C38" i="48" s="1"/>
  <c r="C26" i="48"/>
  <c r="B38" i="48"/>
  <c r="L25" i="48"/>
  <c r="K37" i="48" s="1"/>
  <c r="K25" i="48"/>
  <c r="J37" i="48" s="1"/>
  <c r="J25" i="48"/>
  <c r="I37" i="48" s="1"/>
  <c r="I25" i="48"/>
  <c r="H37" i="48"/>
  <c r="H25" i="48"/>
  <c r="G37" i="48" s="1"/>
  <c r="G25" i="48"/>
  <c r="F37" i="48" s="1"/>
  <c r="F25" i="48"/>
  <c r="E37" i="48" s="1"/>
  <c r="E25" i="48"/>
  <c r="D37" i="48"/>
  <c r="D25" i="48"/>
  <c r="C37" i="48" s="1"/>
  <c r="C25" i="48"/>
  <c r="B37" i="48" s="1"/>
  <c r="L37" i="48" s="1"/>
  <c r="D142" i="48"/>
  <c r="F94" i="48"/>
  <c r="F44" i="48"/>
  <c r="G44" i="48" s="1"/>
  <c r="C127" i="48"/>
  <c r="L53" i="48" s="1"/>
  <c r="J10" i="50"/>
  <c r="J9" i="50"/>
  <c r="J11" i="50"/>
  <c r="G11" i="50"/>
  <c r="K11" i="50"/>
  <c r="H10" i="50"/>
  <c r="K10" i="50"/>
  <c r="G10" i="50"/>
  <c r="G9" i="50"/>
  <c r="K9" i="50"/>
  <c r="H11" i="50"/>
  <c r="H9" i="50"/>
  <c r="L13" i="50"/>
  <c r="J12" i="50"/>
  <c r="L12" i="50"/>
  <c r="J5" i="50"/>
  <c r="J7" i="50"/>
  <c r="J8" i="50"/>
  <c r="J13" i="50"/>
  <c r="K13" i="50"/>
  <c r="A6" i="48"/>
  <c r="D94" i="48" s="1"/>
  <c r="G94" i="48" s="1"/>
  <c r="B97" i="48"/>
  <c r="A8" i="48"/>
  <c r="E94" i="48"/>
  <c r="C103" i="48" s="1"/>
  <c r="E103" i="48" s="1"/>
  <c r="G100" i="48"/>
  <c r="I100" i="48" s="1"/>
  <c r="A13" i="48"/>
  <c r="A15" i="48" s="1"/>
  <c r="C97" i="48"/>
  <c r="J6" i="50"/>
  <c r="L39" i="48" l="1"/>
  <c r="E89" i="48"/>
  <c r="F89" i="48" s="1"/>
  <c r="E88" i="48"/>
  <c r="F88" i="48" s="1"/>
  <c r="L38" i="48"/>
  <c r="E91" i="48"/>
  <c r="F91" i="48" s="1"/>
  <c r="E90" i="48"/>
  <c r="F90" i="48" s="1"/>
  <c r="H44" i="48"/>
  <c r="L40" i="48"/>
  <c r="B99" i="48" s="1"/>
  <c r="C99" i="48" s="1"/>
  <c r="D99" i="48" s="1"/>
  <c r="C82" i="48"/>
  <c r="E82" i="48" s="1"/>
  <c r="F82" i="48" s="1"/>
  <c r="C83" i="48"/>
  <c r="E83" i="48" s="1"/>
  <c r="F83" i="48" s="1"/>
  <c r="C85" i="48"/>
  <c r="E85" i="48" s="1"/>
  <c r="F85" i="48" s="1"/>
  <c r="C84" i="48"/>
  <c r="E84" i="48" s="1"/>
  <c r="F84" i="48" s="1"/>
  <c r="B100" i="48"/>
  <c r="C100" i="48" s="1"/>
  <c r="C111" i="48"/>
  <c r="G99" i="48"/>
  <c r="I99" i="48" s="1"/>
  <c r="B98" i="48"/>
  <c r="C98" i="48" s="1"/>
  <c r="D98" i="48" s="1"/>
  <c r="D49" i="48"/>
  <c r="D51" i="48" s="1"/>
  <c r="C48" i="48"/>
  <c r="C50" i="48" s="1"/>
  <c r="D100" i="48"/>
  <c r="F45" i="48"/>
  <c r="G98" i="48"/>
  <c r="I98" i="48" s="1"/>
  <c r="E48" i="48"/>
  <c r="E50" i="48" s="1"/>
  <c r="F56" i="47"/>
  <c r="F76" i="47" s="1"/>
  <c r="F80" i="47" s="1"/>
  <c r="J14" i="50"/>
  <c r="H99" i="48" l="1"/>
  <c r="J99" i="48"/>
  <c r="K99" i="48" s="1"/>
  <c r="M99" i="48" s="1"/>
  <c r="C10" i="50" s="1"/>
  <c r="E99" i="48"/>
  <c r="L99" i="48"/>
  <c r="B10" i="50" s="1"/>
  <c r="J91" i="48"/>
  <c r="B8" i="50" s="1"/>
  <c r="K91" i="48"/>
  <c r="G8" i="50"/>
  <c r="H91" i="48"/>
  <c r="G91" i="48"/>
  <c r="I83" i="48"/>
  <c r="H83" i="48"/>
  <c r="I82" i="48"/>
  <c r="H82" i="48"/>
  <c r="G89" i="48"/>
  <c r="G6" i="50"/>
  <c r="K89" i="48"/>
  <c r="J89" i="48"/>
  <c r="B6" i="50" s="1"/>
  <c r="H89" i="48"/>
  <c r="I44" i="48"/>
  <c r="G48" i="48"/>
  <c r="G50" i="48" s="1"/>
  <c r="J100" i="48"/>
  <c r="K100" i="48" s="1"/>
  <c r="M100" i="48" s="1"/>
  <c r="C11" i="50" s="1"/>
  <c r="H100" i="48"/>
  <c r="L100" i="48"/>
  <c r="B11" i="50" s="1"/>
  <c r="E100" i="48"/>
  <c r="L98" i="48"/>
  <c r="B9" i="50" s="1"/>
  <c r="H98" i="48"/>
  <c r="E98" i="48"/>
  <c r="J98" i="48"/>
  <c r="K98" i="48" s="1"/>
  <c r="M98" i="48" s="1"/>
  <c r="C9" i="50" s="1"/>
  <c r="B114" i="48"/>
  <c r="C114" i="48" s="1"/>
  <c r="D114" i="48" s="1"/>
  <c r="E115" i="48" s="1"/>
  <c r="E111" i="48"/>
  <c r="B115" i="48"/>
  <c r="C115" i="48" s="1"/>
  <c r="D115" i="48" s="1"/>
  <c r="F48" i="48"/>
  <c r="F50" i="48" s="1"/>
  <c r="H85" i="48"/>
  <c r="I85" i="48"/>
  <c r="J88" i="48"/>
  <c r="B5" i="50" s="1"/>
  <c r="G5" i="50"/>
  <c r="G88" i="48"/>
  <c r="K88" i="48"/>
  <c r="H88" i="48"/>
  <c r="J90" i="48"/>
  <c r="B7" i="50" s="1"/>
  <c r="G7" i="50"/>
  <c r="G90" i="48"/>
  <c r="K90" i="48"/>
  <c r="H90" i="48"/>
  <c r="G45" i="48"/>
  <c r="E49" i="48"/>
  <c r="E51" i="48" s="1"/>
  <c r="I84" i="48"/>
  <c r="H84" i="48"/>
  <c r="M82" i="48" l="1"/>
  <c r="C2" i="50" s="1"/>
  <c r="E2" i="50" s="1"/>
  <c r="L82" i="48"/>
  <c r="B2" i="50" s="1"/>
  <c r="J82" i="48"/>
  <c r="K82" i="48" s="1"/>
  <c r="C8" i="50"/>
  <c r="E8" i="50" s="1"/>
  <c r="N91" i="48"/>
  <c r="L83" i="48"/>
  <c r="B3" i="50" s="1"/>
  <c r="J83" i="48"/>
  <c r="K83" i="48" s="1"/>
  <c r="M83" i="48"/>
  <c r="C3" i="50" s="1"/>
  <c r="E3" i="50" s="1"/>
  <c r="N85" i="48"/>
  <c r="M85" i="48"/>
  <c r="J85" i="48"/>
  <c r="K85" i="48" s="1"/>
  <c r="L85" i="48"/>
  <c r="H45" i="48"/>
  <c r="F49" i="48"/>
  <c r="F51" i="48" s="1"/>
  <c r="I90" i="48"/>
  <c r="H7" i="50"/>
  <c r="J44" i="48"/>
  <c r="H48" i="48"/>
  <c r="H50" i="48" s="1"/>
  <c r="L84" i="48"/>
  <c r="B4" i="50" s="1"/>
  <c r="J84" i="48"/>
  <c r="M84" i="48"/>
  <c r="C4" i="50" s="1"/>
  <c r="E4" i="50" s="1"/>
  <c r="G4" i="50"/>
  <c r="G14" i="50" s="1"/>
  <c r="N88" i="48"/>
  <c r="C5" i="50"/>
  <c r="E5" i="50" s="1"/>
  <c r="G13" i="50"/>
  <c r="G115" i="48"/>
  <c r="F115" i="48"/>
  <c r="I115" i="48"/>
  <c r="B13" i="50" s="1"/>
  <c r="N90" i="48"/>
  <c r="C7" i="50"/>
  <c r="E7" i="50" s="1"/>
  <c r="H6" i="50"/>
  <c r="I89" i="48"/>
  <c r="C6" i="50"/>
  <c r="E6" i="50" s="1"/>
  <c r="N89" i="48"/>
  <c r="I91" i="48"/>
  <c r="H8" i="50"/>
  <c r="H5" i="50"/>
  <c r="I88" i="48"/>
  <c r="K84" i="48" l="1"/>
  <c r="H4" i="50"/>
  <c r="H14" i="50" s="1"/>
  <c r="K44" i="48"/>
  <c r="I48" i="48" s="1"/>
  <c r="I50" i="48" s="1"/>
  <c r="I45" i="48"/>
  <c r="G49" i="48"/>
  <c r="G51" i="48" s="1"/>
  <c r="H13" i="50"/>
  <c r="J115" i="48"/>
  <c r="C13" i="50" s="1"/>
  <c r="H115" i="48"/>
  <c r="L44" i="48" l="1"/>
  <c r="K48" i="48" s="1"/>
  <c r="K50" i="48" s="1"/>
  <c r="J45" i="48"/>
  <c r="K45" i="48" l="1"/>
  <c r="I49" i="48"/>
  <c r="I51" i="48" s="1"/>
  <c r="H49" i="48"/>
  <c r="H51" i="48" s="1"/>
  <c r="J48" i="48"/>
  <c r="J50" i="48" s="1"/>
  <c r="L50" i="48" s="1"/>
  <c r="B106" i="48" s="1"/>
  <c r="C106" i="48" s="1"/>
  <c r="L45" i="48" l="1"/>
  <c r="K49" i="48" s="1"/>
  <c r="K51" i="48" s="1"/>
  <c r="J49" i="48"/>
  <c r="J51" i="48" s="1"/>
  <c r="L51" i="48" l="1"/>
  <c r="B107" i="48" s="1"/>
  <c r="C107" i="48" s="1"/>
  <c r="D107" i="48" s="1"/>
  <c r="F107" i="48" l="1"/>
  <c r="G12" i="50"/>
  <c r="H107" i="48"/>
  <c r="B12" i="50" s="1"/>
  <c r="E107" i="48"/>
  <c r="H12" i="50" l="1"/>
  <c r="G107" i="48"/>
  <c r="I107" i="48"/>
  <c r="C12" i="50" s="1"/>
</calcChain>
</file>

<file path=xl/sharedStrings.xml><?xml version="1.0" encoding="utf-8"?>
<sst xmlns="http://schemas.openxmlformats.org/spreadsheetml/2006/main" count="387" uniqueCount="285">
  <si>
    <t>Prescriptive worksheets are no longer required to submit Retrofit incentive applications. This is an optional worksheet, made available to assist Retrofit applicants with calculating incentives</t>
  </si>
  <si>
    <t>Version 1.0 - Retrofit Program - Compressed Air Eligible Measures Worksheet - January 1, 2025</t>
  </si>
  <si>
    <r>
      <t xml:space="preserve">It is the Applicant's responsibility to ensure that all technologies meet applicable Code, Safety Standard and Regulatory requirements for the Province of Ontario.  All products must be legal for sale in Canada. Only reasonable quantities or product sizes matching the Applicant's facility are permitted.
This worksheet applies to the retrofit of existing equipment as well as the purchase and installation of new equipment that is more efficient than what would have been installed if the Participant had not participated in the program, where none previously existed.
</t>
    </r>
    <r>
      <rPr>
        <b/>
        <sz val="11"/>
        <color theme="1"/>
        <rFont val="Arial"/>
        <family val="2"/>
      </rPr>
      <t>INSTRUCTIONS:</t>
    </r>
    <r>
      <rPr>
        <sz val="11"/>
        <color theme="1"/>
        <rFont val="Arial"/>
        <family val="2"/>
      </rPr>
      <t xml:space="preserve">
In order to calculate the Participant Incentive amount, enter the number of units to be installed in the 'Quantity' column and the 'Incentive Amount for Measure' column will automatically populate based on this information.  The model number and manufacturer must also be clearly indicated for each measure in the 'Model #' and 'Manufacturer' columns. The sum of the 'Incentive Amount for Measure'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</si>
  <si>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Measure 1: Install Zero Loss Air Drain(s)</t>
  </si>
  <si>
    <t>The base case assumes that moisture drains under the control of timers will be replaced by Zero Loss Drains. Zero loss drain on air receiver tanks are an eligible measure. Internal float operated drain valves are not eligible.</t>
  </si>
  <si>
    <t>Make and Model Numbers of Zero Loss Drain(s)</t>
  </si>
  <si>
    <t>Incentive Rate per Drain</t>
  </si>
  <si>
    <t>Quantity of Zero Loss Drains Installed</t>
  </si>
  <si>
    <t>Incentive Amount for Measure</t>
  </si>
  <si>
    <t xml:space="preserve"> </t>
  </si>
  <si>
    <t xml:space="preserve">Measure 2: Install Engineered Nozzles to Replace Open Blowing Pipe or Locally Fabricated Nozzles </t>
  </si>
  <si>
    <t>The base case assumes that open pipe or locally fabricated non-commercial nozzles are in use.  The Applicant can mix and match reasonable quantities of engineered nozzles of 1/16", 1/8", 1/4" or 3/8" nominal sizes depending on compressed air system.</t>
  </si>
  <si>
    <t>Make and Model Number(s) of Engineered Nozzle(s)</t>
  </si>
  <si>
    <t>Engineered Nozzle Nominal Diameter Size</t>
  </si>
  <si>
    <t>Incentive Rate per Engineered Nozzle</t>
  </si>
  <si>
    <t>Quantity of  Engineered Nozzle(s) Installed</t>
  </si>
  <si>
    <t>1/16" Nozzle</t>
  </si>
  <si>
    <t>1/8" Nozzle</t>
  </si>
  <si>
    <t xml:space="preserve">  </t>
  </si>
  <si>
    <t>1/4" Nozzle</t>
  </si>
  <si>
    <t>3/8" Nozzle</t>
  </si>
  <si>
    <t>Note 1: Purple font not intended to be shown on final worksheet version but is for information,  reporting and tracking</t>
  </si>
  <si>
    <r>
      <t xml:space="preserve">Note2: Incentive amounts were all based on the IESO's preapproved $0.10/kWh and by </t>
    </r>
    <r>
      <rPr>
        <i/>
        <sz val="10"/>
        <color rgb="FF7030A0"/>
        <rFont val="Arial"/>
        <family val="2"/>
      </rPr>
      <t>modus ponens</t>
    </r>
    <r>
      <rPr>
        <sz val="10"/>
        <color rgb="FF7030A0"/>
        <rFont val="Arial"/>
        <family val="2"/>
      </rPr>
      <t xml:space="preserve"> have passed TRC, RIM, B-C tests.</t>
    </r>
  </si>
  <si>
    <t>Measure 3: Install additional Primary New Air Receiver Tank</t>
  </si>
  <si>
    <t xml:space="preserve">The base case equipment is an oil-flooded load/no load compressor with a 1 USG/CFM storage ratio. The energy efficient equipment is an oil-flooded load/no load compressor with an improved storage of 3, 4 or 5 USG/CFM capacity and ratio compared to the base case equipment. The horsepower should reflect the rated capacity of all active air compressors. The new air receiver tank must be a primary receiver that is located near the compressor before the main distribution network.  Secondary receivers (located close to points of large intermittent use or considerable distance away from the compressor) are ineligible. New Air Receiver Total Volume (USG) can be a single standard size air receiver or a combination of standard size air receivers to total up the volume as specified. </t>
  </si>
  <si>
    <t>Make, and Model Number Primary New Air Receiver Tank</t>
  </si>
  <si>
    <t xml:space="preserve">Rated Horsepower of All Active Air Compressors (HP) &amp; New Air Receiver Total Volume (USG) </t>
  </si>
  <si>
    <t>Incentive Rate per New Air Receiver Tank</t>
  </si>
  <si>
    <t>Quantity</t>
  </si>
  <si>
    <t>0 to &lt;15 HP (0 to &lt;240 USG)</t>
  </si>
  <si>
    <t>≥15 to &lt;25 HP (≥240 to &lt;400 USG)</t>
  </si>
  <si>
    <t>≥25 to &lt;35 HP (≥400 to &lt;660 USG)</t>
  </si>
  <si>
    <t>≥35 to &lt;45 HP (≥660 to &lt;1060 USG)</t>
  </si>
  <si>
    <t>≥45 to &lt;55 HP (≥800 to &lt;1060 USG)</t>
  </si>
  <si>
    <t>≥55 to &lt;125 HP (≥1060 to &lt;2220 USG)</t>
  </si>
  <si>
    <t>≥125 to &lt;175 HP (≥2200 to &lt;3150 USG)</t>
  </si>
  <si>
    <t>≥175 to &lt;225 HP (≥3150 to &lt;4050 USG)</t>
  </si>
  <si>
    <t>Measure 4: Replace Non-Cycling Refrigerated Dryer with Cycling or Thermal Mass Refrigerated Dryer</t>
  </si>
  <si>
    <t xml:space="preserve">The base case assumes a non-cycling refrigerated compressed air dryer. The energy efficient case assumes installing a new high efficiency cycling or thermal mass refrigerated dryer. The incentive is towards the purchase of a new cycling or thermal mass refrigerated dryer with a maximum of less than 750 CFM of capacity.
</t>
  </si>
  <si>
    <t>Make, and Model Number of Cycling or Thermal Mass Dryer</t>
  </si>
  <si>
    <t>Capacity of New Cycling Refrigerated or Thermal Mass  Dryer (CFM)</t>
  </si>
  <si>
    <t xml:space="preserve">Incentive Rate per Dryer </t>
  </si>
  <si>
    <t>0 to &lt;200 CFM</t>
  </si>
  <si>
    <t>≥200 to &lt;400 CFM</t>
  </si>
  <si>
    <t>≥400 to &lt;750 CFM</t>
  </si>
  <si>
    <t>Measure 5: Install Regenerative Dessicant Dryer Dewpoint Demand Controls</t>
  </si>
  <si>
    <t xml:space="preserve">The base case assumes a regenerative dessicant dryer with a fixed, timer regeneration control that alternate towers on a fixed schedule, regardless of the actual moisture removal load at each regeneration interval.  The energy efficiency case assumes installing a dewpoint controls to adjust the amount of air and energy that is required to regenerate the desiccant towers by monitoring removal load on the system and adjusting regeneration cycles to match the load. Incentive rate up to a maximum of less than 750 CFM of capacity.
</t>
  </si>
  <si>
    <t xml:space="preserve">Make, and Model Number of Dessicant Dryer Dewpoint Demand Controls </t>
  </si>
  <si>
    <t>Capacity of Regenerative Dessicant Dryer (CFM)</t>
  </si>
  <si>
    <t>Incentive Rate per Dewpoint Demand Controls</t>
  </si>
  <si>
    <t>Measure 6: Install Compressed Air Low Pressure Drop Filter</t>
  </si>
  <si>
    <t>The base case condition is a standard coalescing filter with a pressure drop of 3 psid when new and 5 psid or more at element change. The energy efficient case is a low pressure drop filter with pressure drop not exceeding 1 psid when new and 3 psid at element change. Incentive rate up to a maximum of less than 110 HP of capacity.</t>
  </si>
  <si>
    <t>Make, and Model Number of Compressed Air Low Pressure Drop Filter</t>
  </si>
  <si>
    <t>Rated Horsepower of All Active Air Compressors (HP)</t>
  </si>
  <si>
    <t xml:space="preserve">Incentive Rate per Low Pressure Drop Filter </t>
  </si>
  <si>
    <t>0 to &lt;30 HP</t>
  </si>
  <si>
    <t>≥30 to &lt;50 HP</t>
  </si>
  <si>
    <t>≥50 to &lt;70 HP</t>
  </si>
  <si>
    <t>≥70 to &lt;90 HP</t>
  </si>
  <si>
    <t>≥90 to &lt;110 HP</t>
  </si>
  <si>
    <t>TOTAL PARTICIPANT INCENTIVE REQUESTED</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</si>
  <si>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</si>
  <si>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</si>
  <si>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</si>
  <si>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</si>
  <si>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</si>
  <si>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</si>
  <si>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</si>
  <si>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</si>
  <si>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</si>
  <si>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</si>
  <si>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</si>
  <si>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</si>
  <si>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</si>
  <si>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</si>
  <si>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</si>
  <si>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</si>
  <si>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</si>
  <si>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</si>
  <si>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</si>
  <si>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</si>
  <si>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</si>
  <si>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t>Version</t>
  </si>
  <si>
    <t>Date</t>
  </si>
  <si>
    <t>Details</t>
  </si>
  <si>
    <t>eDSM Framework Release</t>
  </si>
  <si>
    <t>Prescriptive Measure Implemented</t>
  </si>
  <si>
    <t>Incentive based on $0.10/kWh</t>
  </si>
  <si>
    <t>Incentive based on $800/kW</t>
  </si>
  <si>
    <t>Measure Cost</t>
  </si>
  <si>
    <t>Default Incentive used in Prescriptive Sheet (Can be Adjusted for Market Conditions by IESO)</t>
  </si>
  <si>
    <t>Incentive based on…</t>
  </si>
  <si>
    <t>Expected Annual kWh Savings</t>
  </si>
  <si>
    <t>Expected Peak kW Savings</t>
  </si>
  <si>
    <t>Quantity Implemented</t>
  </si>
  <si>
    <t>Incentive</t>
  </si>
  <si>
    <t>Warning Message (DO NOT EDIT THIS BLOCK)</t>
  </si>
  <si>
    <t>per drain</t>
  </si>
  <si>
    <t>per nozzle</t>
  </si>
  <si>
    <t>per additional USG tank capacity</t>
  </si>
  <si>
    <t>per cfm of dryer capacity</t>
  </si>
  <si>
    <t>Totals</t>
  </si>
  <si>
    <t>Average Compressor Size</t>
  </si>
  <si>
    <t>Notes</t>
  </si>
  <si>
    <t>Existing Primary Receiver Capacity (USG)</t>
  </si>
  <si>
    <t>Compressor Size (Note Average Ontario Composite Compressor Size is 122.886363636364 HP)</t>
  </si>
  <si>
    <t>Assumed Voltage</t>
  </si>
  <si>
    <t>Estimated Power Factor</t>
  </si>
  <si>
    <t>Maximum Compressor Power</t>
  </si>
  <si>
    <t>Compressor Output factor (cfm per HP) rule of thumb @100 psig</t>
  </si>
  <si>
    <t>cfm</t>
  </si>
  <si>
    <t>Compressor Maximum Output (cfm)</t>
  </si>
  <si>
    <t>hours</t>
  </si>
  <si>
    <t>Hours per Day</t>
  </si>
  <si>
    <t>days</t>
  </si>
  <si>
    <t>Days per Week</t>
  </si>
  <si>
    <t>weeks</t>
  </si>
  <si>
    <t>Hour per Year (assumes 10 statutory holidays and 1 week shutdown)</t>
  </si>
  <si>
    <t>Revised from 2940 hours</t>
  </si>
  <si>
    <t>Nominal operating hours per year (Conservative hours used as small industrial customers more likely to apply for prescriptive incentives, and larger customers for custom program incentives)</t>
  </si>
  <si>
    <t>kW/100 cfm for Compressor at full load</t>
  </si>
  <si>
    <t>Compressor Index</t>
  </si>
  <si>
    <t>Adjustment for part load efficiency, pressure loss across filters, dyers and nominal power to operate dryer</t>
  </si>
  <si>
    <t xml:space="preserve">Percentage of Capacity </t>
  </si>
  <si>
    <t>Reference: Scales, William, and David M. McCulloch. "Appendix 2.A.2." Best Practices for Compressed Air Systems. 2nd ed. Alexandria, VA: Compressed Air Challenge, 2013</t>
  </si>
  <si>
    <t xml:space="preserve">Load/Unload (1 USG/cfm) </t>
  </si>
  <si>
    <t>Percent of Full Load Power</t>
  </si>
  <si>
    <t xml:space="preserve">Load/Unload (2 USG/cfm) </t>
  </si>
  <si>
    <t xml:space="preserve">Load/Unload (3 USG/cfm) </t>
  </si>
  <si>
    <t xml:space="preserve">Load/Unload (5 USG/cfm) </t>
  </si>
  <si>
    <t xml:space="preserve">Load/Unload (10 USG/cfm) </t>
  </si>
  <si>
    <t xml:space="preserve"> 0-10%</t>
  </si>
  <si>
    <t xml:space="preserve"> 11-20%</t>
  </si>
  <si>
    <t xml:space="preserve"> 21-30%</t>
  </si>
  <si>
    <t xml:space="preserve"> 31-40%</t>
  </si>
  <si>
    <t xml:space="preserve"> 41-50%</t>
  </si>
  <si>
    <t xml:space="preserve"> 51-60%</t>
  </si>
  <si>
    <t xml:space="preserve"> 61-70%</t>
  </si>
  <si>
    <t xml:space="preserve"> 71-80%</t>
  </si>
  <si>
    <t xml:space="preserve"> 81-90%</t>
  </si>
  <si>
    <t xml:space="preserve"> 91-100%</t>
  </si>
  <si>
    <t>Reference Compressed Air Challenge Scales and McCulloch (2013)</t>
  </si>
  <si>
    <t>Percent of Full Load Power Bin</t>
  </si>
  <si>
    <t>Percent of Rated Power Bin</t>
  </si>
  <si>
    <t>Percent of Time</t>
  </si>
  <si>
    <t>Ontario Composite Profile for Fixed Speed Compressor</t>
  </si>
  <si>
    <t>Weighted Average of Compressor Full Power</t>
  </si>
  <si>
    <t>Wght Avg</t>
  </si>
  <si>
    <t>Baseline of Full Load</t>
  </si>
  <si>
    <t>New Power with 2 USG/cfm</t>
  </si>
  <si>
    <t>New Power with 3 USG/cfm</t>
  </si>
  <si>
    <t>New Power with 5 USG/cfm</t>
  </si>
  <si>
    <t>New Power with 10 USG/cfm</t>
  </si>
  <si>
    <t xml:space="preserve">Slope </t>
  </si>
  <si>
    <t>Non-Cycling</t>
  </si>
  <si>
    <t>Typical 10&amp;100% kW power profile  for nominal 1000 cfm non cycling dryer</t>
  </si>
  <si>
    <t>Thermal Mass</t>
  </si>
  <si>
    <t>Typical 10&amp;100% kW power profile for nominal 1000 cfm cycling/thermal mass dryer</t>
  </si>
  <si>
    <t>Non Cycling Bins</t>
  </si>
  <si>
    <t>Cycling Dryer Bins</t>
  </si>
  <si>
    <t xml:space="preserve">Non-Cycling Energy Consumption </t>
  </si>
  <si>
    <t>Weighted average kW for 1000 cfm non cycling dryer with Ontario Profile</t>
  </si>
  <si>
    <t>Thermal Mass Energy Consumption</t>
  </si>
  <si>
    <t>Weighted average kW for 1000 cfm cycling dryer with Ontario Profile</t>
  </si>
  <si>
    <t>Percent of Dryer Rated Capacity required for Dryer Regeneration</t>
  </si>
  <si>
    <t>Based on reducing dryer switchover times using psychometric calculation for 104 weeks (2015&amp;2016) at Ingersoll Ontario. Percent Cycle Savings Based on Reducing the drying cycles when absolute humidity is less than  (0.00600 kg H2O per kg Air). Average humidity for period used was 0.006622  kg H2O per kg Air and maximum humidity was 0.014101  kg H2O per kg Air. Date: Environment Canada</t>
  </si>
  <si>
    <t>Air Leakage through Orifice Table (Source: US DOE Compressed Air Challenge 2013)</t>
  </si>
  <si>
    <t xml:space="preserve">Orifice Diameter (inches) </t>
  </si>
  <si>
    <t xml:space="preserve">Pressure (psig) </t>
  </si>
  <si>
    <t xml:space="preserve">1/64 </t>
  </si>
  <si>
    <t xml:space="preserve">1/32 </t>
  </si>
  <si>
    <t>1/16</t>
  </si>
  <si>
    <t>1/8</t>
  </si>
  <si>
    <t>1/4</t>
  </si>
  <si>
    <t>3/8</t>
  </si>
  <si>
    <t xml:space="preserve">Values should be multiplied by 0.97 for well-rounded orifices and by 0.61 for sharp orifices. </t>
  </si>
  <si>
    <t>For Drains</t>
  </si>
  <si>
    <t>Use 100 psig for Compressor, Dryer and Receiver Tank drains</t>
  </si>
  <si>
    <t>Typical number of Timed Drain Actuations per Hour</t>
  </si>
  <si>
    <t>CAWG revised to 4 seconds based on input from CAWG and ESource. LeapFrog typical observed seconds of compressed air release following water discharge (8.5 seconds blowing water +1.5 seconds blowing air on 10 second total cycle)</t>
  </si>
  <si>
    <t>For Nozzles</t>
  </si>
  <si>
    <t>Use 80 psig for regulated open blowing pipes (typically observed 20-50 psig)</t>
  </si>
  <si>
    <t>Use 30 psig for efficient nozzle or air assisted nozzles</t>
  </si>
  <si>
    <t>Percent of time that open blowing occurs</t>
  </si>
  <si>
    <t>Zero Loss Drains</t>
  </si>
  <si>
    <t>Orifice Discharge Rate (cfm)</t>
  </si>
  <si>
    <t>Equivalent kW Demand</t>
  </si>
  <si>
    <t>Operating Time (hours)</t>
  </si>
  <si>
    <t>Equivalent kWh each hour</t>
  </si>
  <si>
    <t>Equivalent kWh per Year</t>
  </si>
  <si>
    <t>Assumed kWh for Zero Loss Drain</t>
  </si>
  <si>
    <t>Annual Savings (kWh)</t>
  </si>
  <si>
    <t>Approximately  % Capacity of Compressor</t>
  </si>
  <si>
    <t>Drain Incentive @$0.10/kWh</t>
  </si>
  <si>
    <t>Drain @$800/kW</t>
  </si>
  <si>
    <t>1/8"  Drain</t>
  </si>
  <si>
    <t>1/4"  Drain</t>
  </si>
  <si>
    <t>3/8" Drain</t>
  </si>
  <si>
    <t>1/2"  Drain</t>
  </si>
  <si>
    <t>Engineered Nozzles</t>
  </si>
  <si>
    <t>Open Blowing Flow Rate (cfm)</t>
  </si>
  <si>
    <t>Efficient Nozzle Flow Rate (cfm)</t>
  </si>
  <si>
    <t>Air Savings with Nozzle (cfm)</t>
  </si>
  <si>
    <t>Equivalent kW Demand Savings</t>
  </si>
  <si>
    <t>Incentive @$0.10/kWh</t>
  </si>
  <si>
    <t>Nozzle @800/kW</t>
  </si>
  <si>
    <t>Inc. Cost</t>
  </si>
  <si>
    <t>50% Inc. Cost</t>
  </si>
  <si>
    <t xml:space="preserve">Incentive </t>
  </si>
  <si>
    <t>1/16"  Engineered Nozzle</t>
  </si>
  <si>
    <t>1/8" Engineered Nozzle</t>
  </si>
  <si>
    <t>1/4"  Engineered Nozzle</t>
  </si>
  <si>
    <t>3/8" Engineered Nozzle</t>
  </si>
  <si>
    <t>Compressor HP</t>
  </si>
  <si>
    <t>Compressor Nameplate kW</t>
  </si>
  <si>
    <t>Approximate Output cfm</t>
  </si>
  <si>
    <t>Annual Operating Hours</t>
  </si>
  <si>
    <t>Annual kWh at 100% Loading</t>
  </si>
  <si>
    <t>Weighted Average Hourly kW based on Ontario Profile</t>
  </si>
  <si>
    <t>Annualized kWh</t>
  </si>
  <si>
    <t>Annual Energy Savings with Additional Primary Receiver</t>
  </si>
  <si>
    <t>Percent Energy Savings with Primary Receiver</t>
  </si>
  <si>
    <t>Receiver Tank Multiplier USG/cfm</t>
  </si>
  <si>
    <t>Actual Required Tank Size (USG)</t>
  </si>
  <si>
    <t>Incentive @$0.10/kWh per Compressor HP</t>
  </si>
  <si>
    <t>Allowable Tank Size (Rule of Thumb - Actual) + 20% allowance</t>
  </si>
  <si>
    <t>Average Demand Savings / Intermediate Calculation</t>
  </si>
  <si>
    <t>Peak kW Savings</t>
  </si>
  <si>
    <t>Incentive @$0.10/kWh per USG</t>
  </si>
  <si>
    <t>Baseline (1 USG/cfm)</t>
  </si>
  <si>
    <t>3 USG/cfm</t>
  </si>
  <si>
    <t>5 USG/cfm</t>
  </si>
  <si>
    <t>10 USG/cfm</t>
  </si>
  <si>
    <t>Cycling or Thermal Mass Dryer</t>
  </si>
  <si>
    <t>allowance factor</t>
  </si>
  <si>
    <t>allowable capacity</t>
  </si>
  <si>
    <t>Approximate Dryer Capacity (cfm) plus 20%</t>
  </si>
  <si>
    <t>kW</t>
  </si>
  <si>
    <t>kWh Consumption</t>
  </si>
  <si>
    <t>Annual Energy Savings with Cycling Dryer</t>
  </si>
  <si>
    <t>Percent Energy Savings with Cycling Dryer</t>
  </si>
  <si>
    <t>Average Demand Savings</t>
  </si>
  <si>
    <t>Incentive @$0.10/kWh per cfm</t>
  </si>
  <si>
    <t>Baseline (Non-Cycling Dryer)</t>
  </si>
  <si>
    <t>Cycling Dyer</t>
  </si>
  <si>
    <t>Regenerative Dryer with Dewpoint Controlled Regeneration</t>
  </si>
  <si>
    <t>Approximate Regenerative  Dryer Capacity Required (cfm)</t>
  </si>
  <si>
    <t>Average Required Regenerator Flow (cfm)</t>
  </si>
  <si>
    <t>kW Consumption</t>
  </si>
  <si>
    <t>Annual kWh Consumption</t>
  </si>
  <si>
    <t>Baseline Air Flow (cfm)</t>
  </si>
  <si>
    <t xml:space="preserve">Dewpoint Dependent </t>
  </si>
  <si>
    <t>Humidity and Moisture Levels</t>
  </si>
  <si>
    <t>Maximum Humidity</t>
  </si>
  <si>
    <t>Average</t>
  </si>
  <si>
    <t>Dewpoint Control</t>
  </si>
  <si>
    <t>Base Dryer Cycles per hour</t>
  </si>
  <si>
    <t>Base Cycles</t>
  </si>
  <si>
    <t>New Cycles With Dewpoint Control</t>
  </si>
  <si>
    <t>Cycle Savings</t>
  </si>
  <si>
    <t>Percent Cycle Savings</t>
  </si>
  <si>
    <t xml:space="preserve">Load/Unload (1 gal/CFM) </t>
  </si>
  <si>
    <t xml:space="preserve">Load/Unload (2 gal/CFM) </t>
  </si>
  <si>
    <t xml:space="preserve">Load/Unload (3 gal/CFM) </t>
  </si>
  <si>
    <t xml:space="preserve">Load/Unload (5 gal/CFM) </t>
  </si>
  <si>
    <t xml:space="preserve">Load/Unload (10 gal/CFM) </t>
  </si>
  <si>
    <t xml:space="preserve">Load/Unload – Oil-Free </t>
  </si>
  <si>
    <t xml:space="preserve">Inlet Valve Modulation (w/o Blowdown) </t>
  </si>
  <si>
    <t xml:space="preserve">Inlet Valve Modulation (w/Blowdown) </t>
  </si>
  <si>
    <t xml:space="preserve">Variable Displacement </t>
  </si>
  <si>
    <t>VSD w/Unloading</t>
  </si>
  <si>
    <t xml:space="preserve">VSD w/Stopping </t>
  </si>
  <si>
    <t>Ontario Composite Profile</t>
  </si>
  <si>
    <t>Peak Factor</t>
  </si>
  <si>
    <t>Composite Compressors</t>
  </si>
  <si>
    <t>Peak Average</t>
  </si>
  <si>
    <t>Average HP</t>
  </si>
  <si>
    <t>Clock Hour</t>
  </si>
  <si>
    <t>Week Hour</t>
  </si>
  <si>
    <t>Sum 88 Compressors</t>
  </si>
  <si>
    <t>Average 88 Compressors</t>
  </si>
  <si>
    <t>Count On</t>
  </si>
  <si>
    <t>Count Off</t>
  </si>
  <si>
    <t>88 Compressors in Ontario Composite (HP)</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</si>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</sst>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 #,##0.0_-;_-* &quot;-&quot;??_-;_-@_-"/>
    <numFmt numFmtId="167" formatCode="_-* #,##0_-;\-* #,##0_-;_-* &quot;-&quot;??_-;_-@_-"/>
    <numFmt numFmtId="168" formatCode="0.0%"/>
    <numFmt numFmtId="169" formatCode="_(&quot;$&quot;* #,##0_);_(&quot;$&quot;* \(#,##0\);_(&quot;$&quot;* &quot;-&quot;??_);_(@_)"/>
    <numFmt numFmtId="170" formatCode="_(* #,##0_);_(* \(#,##0\);_(* &quot;-&quot;??_);_(@_)"/>
    <numFmt numFmtId="171" formatCode="_-* #,##0.000_-;\-* #,##0.000_-;_-* &quot;-&quot;??_-;_-@_-"/>
    <numFmt numFmtId="172" formatCode="[$-409]d/mmm/yy;@"/>
    <numFmt numFmtId="173" formatCode="_(* #,##0.0000_);_(* \(#,##0.0000\);_(* &quot;-&quot;??_);_(@_)"/>
    <numFmt numFmtId="174" formatCode="&quot;$&quot;#,##0.00"/>
    <numFmt numFmtId="175" formatCode="0.0000"/>
    <numFmt numFmtId="176" formatCode="_-* #,##0.0000_-;\-* #,##0.0000_-;_-* &quot;-&quot;??_-;_-@_-"/>
    <numFmt numFmtId="177" formatCode="_(* #,##0.000_);_(* \(#,##0.000\);_(* &quot;-&quot;??_);_(@_)"/>
    <numFmt numFmtId="178" formatCode="0.0000%"/>
    <numFmt numFmtId="179" formatCode="#,##0.0"/>
    <numFmt numFmtId="180" formatCode="#,##0.000"/>
    <numFmt numFmtId="181" formatCode="&quot;$&quot;#,##0"/>
    <numFmt numFmtId="182" formatCode="0.0"/>
  </numFmts>
  <fonts count="34">
    <font>
      <sz val="11"/>
      <color theme="1"/>
      <name val="Calibri"/>
      <family val="2"/>
      <scheme val="minor"/>
    </font>
    <font>
      <sz val="11"/>
      <color theme="1"/>
      <name val="Calibri"/>
      <family val="2"/>
      <scheme val="minor"/>
    </font>
    <font>
      <sz val="11"/>
      <name val="Calibri"/>
      <family val="2"/>
      <scheme val="minor"/>
    </font>
    <font>
      <sz val="10"/>
      <color rgb="FF333333"/>
      <name val="Arial"/>
      <family val="2"/>
    </font>
    <font>
      <sz val="10"/>
      <color theme="1"/>
      <name val="Arial"/>
      <family val="2"/>
    </font>
    <font>
      <sz val="10"/>
      <name val="Arial"/>
      <family val="2"/>
    </font>
    <font>
      <b/>
      <sz val="10"/>
      <name val="Arial"/>
      <family val="2"/>
    </font>
    <font>
      <sz val="10"/>
      <color rgb="FF7030A0"/>
      <name val="Arial"/>
      <family val="2"/>
    </font>
    <font>
      <b/>
      <sz val="10"/>
      <color rgb="FF0070C0"/>
      <name val="Arial"/>
      <family val="2"/>
    </font>
    <font>
      <b/>
      <sz val="10"/>
      <color rgb="FF00B050"/>
      <name val="Arial"/>
      <family val="2"/>
    </font>
    <font>
      <b/>
      <sz val="10"/>
      <color theme="1"/>
      <name val="Arial"/>
      <family val="2"/>
    </font>
    <font>
      <i/>
      <sz val="10"/>
      <color rgb="FF7030A0"/>
      <name val="Arial"/>
      <family val="2"/>
    </font>
    <font>
      <b/>
      <sz val="12"/>
      <name val="Arial"/>
      <family val="2"/>
    </font>
    <font>
      <sz val="8"/>
      <name val="Arial"/>
      <family val="2"/>
    </font>
    <font>
      <sz val="8"/>
      <color theme="1"/>
      <name val="Arial"/>
      <family val="2"/>
    </font>
    <font>
      <sz val="10"/>
      <name val="Verdana"/>
      <family val="2"/>
    </font>
    <font>
      <sz val="8"/>
      <color theme="1"/>
      <name val="Calibri"/>
      <family val="2"/>
      <scheme val="minor"/>
    </font>
    <font>
      <b/>
      <i/>
      <sz val="11"/>
      <name val="Calibri"/>
      <family val="2"/>
      <scheme val="minor"/>
    </font>
    <font>
      <sz val="9"/>
      <name val="Arial"/>
      <family val="2"/>
    </font>
    <font>
      <b/>
      <sz val="9"/>
      <name val="Arial"/>
      <family val="2"/>
    </font>
    <font>
      <b/>
      <sz val="11"/>
      <name val="Calibri"/>
      <family val="2"/>
      <scheme val="minor"/>
    </font>
    <font>
      <sz val="11"/>
      <color theme="1"/>
      <name val="Arial"/>
      <family val="2"/>
    </font>
    <font>
      <b/>
      <sz val="11"/>
      <color theme="1"/>
      <name val="Arial"/>
      <family val="2"/>
    </font>
    <font>
      <sz val="12"/>
      <color theme="1"/>
      <name val="Arial"/>
      <family val="2"/>
    </font>
    <font>
      <sz val="11"/>
      <name val="Arial"/>
      <family val="2"/>
    </font>
    <font>
      <b/>
      <sz val="11"/>
      <color theme="1"/>
      <name val="Calibri"/>
      <family val="2"/>
      <scheme val="minor"/>
    </font>
    <font>
      <u/>
      <sz val="11"/>
      <name val="Calibri"/>
      <family val="2"/>
      <scheme val="minor"/>
    </font>
    <font>
      <u/>
      <sz val="10"/>
      <color theme="10"/>
      <name val="Verdana"/>
      <family val="2"/>
    </font>
    <font>
      <u/>
      <sz val="10"/>
      <name val="Arial"/>
      <family val="2"/>
    </font>
    <font>
      <u/>
      <sz val="10"/>
      <color rgb="FF2E813E"/>
      <name val="Arial"/>
      <family val="2"/>
    </font>
    <font>
      <b/>
      <sz val="11"/>
      <name val="Arial"/>
      <family val="2"/>
    </font>
    <font>
      <sz val="8"/>
      <name val="Calibri"/>
      <family val="2"/>
      <scheme val="minor"/>
    </font>
    <font>
      <sz val="9"/>
      <name val="Calibri"/>
      <family val="2"/>
      <scheme val="minor"/>
    </font>
    <font>
      <sz val="16"/>
      <color theme="0" tint="-0.34998626667073579"/>
      <name val="Hervetica "/>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9"/>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0" fontId="27" fillId="0" borderId="0" applyNumberFormat="0" applyFill="0" applyBorder="0" applyAlignment="0" applyProtection="0"/>
  </cellStyleXfs>
  <cellXfs count="350">
    <xf numFmtId="0" fontId="0" fillId="0" borderId="0" xfId="0"/>
    <xf numFmtId="0" fontId="5" fillId="0" borderId="0" xfId="0" applyFont="1"/>
    <xf numFmtId="167" fontId="5" fillId="0" borderId="0" xfId="1" applyNumberFormat="1" applyFont="1" applyBorder="1"/>
    <xf numFmtId="166" fontId="5" fillId="0" borderId="0" xfId="1" applyNumberFormat="1" applyFont="1" applyBorder="1"/>
    <xf numFmtId="174" fontId="5" fillId="0" borderId="0" xfId="0" applyNumberFormat="1" applyFont="1"/>
    <xf numFmtId="164" fontId="5" fillId="0" borderId="6" xfId="3" applyFont="1" applyBorder="1"/>
    <xf numFmtId="0" fontId="5" fillId="0" borderId="7" xfId="0" applyFont="1" applyBorder="1"/>
    <xf numFmtId="0" fontId="5" fillId="0" borderId="8" xfId="0" applyFont="1" applyBorder="1"/>
    <xf numFmtId="0" fontId="6" fillId="0" borderId="8" xfId="0" applyFont="1" applyBorder="1"/>
    <xf numFmtId="164" fontId="6" fillId="0" borderId="9" xfId="3" applyFont="1" applyBorder="1"/>
    <xf numFmtId="0" fontId="5" fillId="0" borderId="3" xfId="0" applyFont="1" applyBorder="1" applyAlignment="1">
      <alignment wrapText="1"/>
    </xf>
    <xf numFmtId="0" fontId="5" fillId="0" borderId="4" xfId="0" applyFont="1" applyBorder="1" applyAlignment="1">
      <alignment wrapText="1"/>
    </xf>
    <xf numFmtId="0" fontId="5" fillId="0" borderId="2" xfId="0" applyFont="1" applyBorder="1" applyAlignment="1">
      <alignment wrapText="1"/>
    </xf>
    <xf numFmtId="0" fontId="5" fillId="0" borderId="5" xfId="0" applyFont="1" applyBorder="1"/>
    <xf numFmtId="174" fontId="5" fillId="0" borderId="5" xfId="0" applyNumberFormat="1" applyFont="1" applyBorder="1"/>
    <xf numFmtId="0" fontId="5" fillId="0" borderId="14" xfId="0" applyFont="1" applyBorder="1"/>
    <xf numFmtId="43" fontId="2" fillId="0" borderId="0" xfId="1" applyFont="1" applyFill="1" applyBorder="1" applyAlignment="1"/>
    <xf numFmtId="9" fontId="2" fillId="0" borderId="0" xfId="2" applyFont="1" applyFill="1" applyBorder="1" applyAlignment="1"/>
    <xf numFmtId="0" fontId="2" fillId="0" borderId="0" xfId="0" applyFont="1"/>
    <xf numFmtId="168" fontId="2" fillId="0" borderId="0" xfId="2" applyNumberFormat="1" applyFont="1" applyFill="1" applyBorder="1" applyAlignment="1"/>
    <xf numFmtId="166" fontId="2" fillId="0" borderId="0" xfId="1" applyNumberFormat="1" applyFont="1" applyFill="1" applyBorder="1" applyAlignment="1"/>
    <xf numFmtId="9" fontId="2" fillId="0" borderId="0" xfId="2" applyFont="1" applyFill="1" applyBorder="1"/>
    <xf numFmtId="167" fontId="2" fillId="0" borderId="0" xfId="1" applyNumberFormat="1" applyFont="1" applyFill="1" applyBorder="1"/>
    <xf numFmtId="0" fontId="13" fillId="3" borderId="0" xfId="0" applyFont="1" applyFill="1" applyAlignment="1">
      <alignment horizontal="left" vertical="center"/>
    </xf>
    <xf numFmtId="0" fontId="1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6" fillId="2" borderId="1" xfId="0" applyFont="1" applyFill="1" applyBorder="1" applyAlignment="1">
      <alignment wrapText="1"/>
    </xf>
    <xf numFmtId="174" fontId="5" fillId="2" borderId="13" xfId="0" applyNumberFormat="1" applyFont="1" applyFill="1" applyBorder="1"/>
    <xf numFmtId="0" fontId="5" fillId="0" borderId="6" xfId="0" applyFont="1" applyBorder="1"/>
    <xf numFmtId="43" fontId="5" fillId="0" borderId="5" xfId="1" applyFont="1" applyFill="1" applyBorder="1"/>
    <xf numFmtId="0" fontId="4" fillId="0" borderId="0" xfId="0" applyFont="1"/>
    <xf numFmtId="0" fontId="5" fillId="0" borderId="9" xfId="0" applyFont="1" applyBorder="1"/>
    <xf numFmtId="167" fontId="6" fillId="2" borderId="8" xfId="1" applyNumberFormat="1" applyFont="1" applyFill="1" applyBorder="1"/>
    <xf numFmtId="166" fontId="6" fillId="2" borderId="8" xfId="1" applyNumberFormat="1" applyFont="1" applyFill="1" applyBorder="1"/>
    <xf numFmtId="165" fontId="2" fillId="0" borderId="0" xfId="0" applyNumberFormat="1" applyFont="1"/>
    <xf numFmtId="9" fontId="2" fillId="0" borderId="0" xfId="0" applyNumberFormat="1" applyFont="1"/>
    <xf numFmtId="167" fontId="2" fillId="0" borderId="0" xfId="1" applyNumberFormat="1" applyFont="1" applyFill="1" applyBorder="1" applyAlignment="1"/>
    <xf numFmtId="0" fontId="2" fillId="0" borderId="0" xfId="0" applyFont="1" applyAlignment="1">
      <alignment wrapText="1"/>
    </xf>
    <xf numFmtId="43" fontId="2" fillId="0" borderId="0" xfId="0" applyNumberFormat="1" applyFont="1"/>
    <xf numFmtId="164" fontId="2" fillId="0" borderId="0" xfId="3" applyFont="1" applyFill="1" applyBorder="1" applyAlignment="1"/>
    <xf numFmtId="167" fontId="2" fillId="0" borderId="0" xfId="0" applyNumberFormat="1" applyFont="1"/>
    <xf numFmtId="172" fontId="2" fillId="0" borderId="0" xfId="0" applyNumberFormat="1" applyFont="1"/>
    <xf numFmtId="173" fontId="2" fillId="0" borderId="0" xfId="1" applyNumberFormat="1" applyFont="1" applyFill="1" applyBorder="1"/>
    <xf numFmtId="170" fontId="2" fillId="0" borderId="0" xfId="1" applyNumberFormat="1" applyFont="1" applyFill="1" applyBorder="1"/>
    <xf numFmtId="170" fontId="2" fillId="0" borderId="0" xfId="0" applyNumberFormat="1" applyFont="1"/>
    <xf numFmtId="168" fontId="2" fillId="0" borderId="0" xfId="2" applyNumberFormat="1" applyFont="1" applyFill="1" applyBorder="1"/>
    <xf numFmtId="43" fontId="2" fillId="0" borderId="0" xfId="1" applyFont="1" applyFill="1" applyBorder="1"/>
    <xf numFmtId="0" fontId="2" fillId="4" borderId="0" xfId="0" applyFont="1" applyFill="1"/>
    <xf numFmtId="0" fontId="17" fillId="0" borderId="0" xfId="0" applyFont="1"/>
    <xf numFmtId="174" fontId="5" fillId="5" borderId="13" xfId="0" applyNumberFormat="1" applyFont="1" applyFill="1" applyBorder="1"/>
    <xf numFmtId="175" fontId="2" fillId="0" borderId="0" xfId="0" applyNumberFormat="1" applyFont="1"/>
    <xf numFmtId="44" fontId="2" fillId="0" borderId="0" xfId="0" applyNumberFormat="1" applyFont="1"/>
    <xf numFmtId="167" fontId="5" fillId="0" borderId="0" xfId="1" applyNumberFormat="1" applyFont="1"/>
    <xf numFmtId="171" fontId="2" fillId="0" borderId="0" xfId="1" applyNumberFormat="1" applyFont="1" applyFill="1" applyBorder="1" applyAlignment="1"/>
    <xf numFmtId="0" fontId="20" fillId="0" borderId="0" xfId="0" applyFont="1"/>
    <xf numFmtId="8" fontId="2" fillId="0" borderId="0" xfId="0" applyNumberFormat="1" applyFont="1"/>
    <xf numFmtId="0" fontId="2" fillId="3" borderId="0" xfId="0" applyFont="1" applyFill="1" applyAlignment="1">
      <alignment vertical="center"/>
    </xf>
    <xf numFmtId="0" fontId="24" fillId="3" borderId="0" xfId="0" applyFont="1" applyFill="1" applyAlignment="1">
      <alignment horizontal="left" vertical="center"/>
    </xf>
    <xf numFmtId="15" fontId="0" fillId="0" borderId="0" xfId="0" applyNumberFormat="1"/>
    <xf numFmtId="0" fontId="4" fillId="3" borderId="0" xfId="0" applyFont="1" applyFill="1"/>
    <xf numFmtId="167" fontId="7" fillId="0" borderId="0" xfId="1" applyNumberFormat="1" applyFont="1" applyProtection="1"/>
    <xf numFmtId="166" fontId="7" fillId="0" borderId="0" xfId="1" applyNumberFormat="1" applyFont="1" applyProtection="1"/>
    <xf numFmtId="0" fontId="4" fillId="3" borderId="0" xfId="0" applyFont="1" applyFill="1" applyAlignment="1">
      <alignment wrapText="1"/>
    </xf>
    <xf numFmtId="0" fontId="8" fillId="3" borderId="0" xfId="0" applyFont="1" applyFill="1" applyAlignment="1">
      <alignment horizontal="left" wrapText="1"/>
    </xf>
    <xf numFmtId="0" fontId="9" fillId="0" borderId="0" xfId="0" applyFont="1"/>
    <xf numFmtId="164" fontId="3" fillId="3" borderId="0" xfId="3" applyFont="1" applyFill="1" applyProtection="1"/>
    <xf numFmtId="0" fontId="10" fillId="3" borderId="0" xfId="0" applyFont="1" applyFill="1" applyAlignment="1">
      <alignment wrapText="1"/>
    </xf>
    <xf numFmtId="169" fontId="4" fillId="3" borderId="0" xfId="3" applyNumberFormat="1" applyFont="1" applyFill="1" applyBorder="1" applyProtection="1"/>
    <xf numFmtId="169" fontId="14" fillId="3" borderId="0" xfId="3" applyNumberFormat="1" applyFont="1" applyFill="1" applyBorder="1" applyProtection="1"/>
    <xf numFmtId="0" fontId="2" fillId="3" borderId="0" xfId="0" applyFont="1" applyFill="1" applyAlignment="1">
      <alignment vertical="center" wrapText="1"/>
    </xf>
    <xf numFmtId="0" fontId="5" fillId="3" borderId="0" xfId="0" applyFont="1" applyFill="1"/>
    <xf numFmtId="167" fontId="5" fillId="3" borderId="0" xfId="1" applyNumberFormat="1" applyFont="1" applyFill="1" applyProtection="1"/>
    <xf numFmtId="166" fontId="5" fillId="3" borderId="0" xfId="1" applyNumberFormat="1" applyFont="1" applyFill="1" applyProtection="1"/>
    <xf numFmtId="176" fontId="2" fillId="6" borderId="0" xfId="1" applyNumberFormat="1" applyFont="1" applyFill="1" applyBorder="1" applyAlignment="1"/>
    <xf numFmtId="171" fontId="2" fillId="6" borderId="0" xfId="1" applyNumberFormat="1" applyFont="1" applyFill="1" applyBorder="1" applyAlignment="1"/>
    <xf numFmtId="178" fontId="2" fillId="0" borderId="0" xfId="2" applyNumberFormat="1" applyFont="1" applyFill="1" applyBorder="1" applyAlignment="1"/>
    <xf numFmtId="3" fontId="2" fillId="0" borderId="0" xfId="0" applyNumberFormat="1" applyFont="1"/>
    <xf numFmtId="178" fontId="2" fillId="0" borderId="0" xfId="0" applyNumberFormat="1" applyFont="1"/>
    <xf numFmtId="0" fontId="2" fillId="0" borderId="0" xfId="0" applyFont="1" applyAlignment="1">
      <alignment horizontal="center" wrapText="1"/>
    </xf>
    <xf numFmtId="0" fontId="2" fillId="0" borderId="25" xfId="0" applyFont="1" applyBorder="1"/>
    <xf numFmtId="0" fontId="2" fillId="0" borderId="27" xfId="0" applyFont="1" applyBorder="1"/>
    <xf numFmtId="0" fontId="2" fillId="0" borderId="29" xfId="0" applyFont="1" applyBorder="1"/>
    <xf numFmtId="0" fontId="2" fillId="0" borderId="31" xfId="0" applyFont="1" applyBorder="1"/>
    <xf numFmtId="0" fontId="2" fillId="0" borderId="15" xfId="0" applyFont="1" applyBorder="1"/>
    <xf numFmtId="0" fontId="2" fillId="0" borderId="32" xfId="0" applyFont="1" applyBorder="1"/>
    <xf numFmtId="0" fontId="2" fillId="0" borderId="33" xfId="0" applyFont="1" applyBorder="1"/>
    <xf numFmtId="0" fontId="2" fillId="0" borderId="24" xfId="0" applyFont="1" applyBorder="1"/>
    <xf numFmtId="168" fontId="2" fillId="0" borderId="24" xfId="2" applyNumberFormat="1" applyFont="1" applyFill="1" applyBorder="1" applyAlignment="1"/>
    <xf numFmtId="166" fontId="2" fillId="0" borderId="24" xfId="1" applyNumberFormat="1" applyFont="1" applyFill="1" applyBorder="1" applyAlignment="1"/>
    <xf numFmtId="43" fontId="2" fillId="0" borderId="37" xfId="1" applyFont="1" applyFill="1" applyBorder="1" applyAlignment="1"/>
    <xf numFmtId="43" fontId="2" fillId="0" borderId="33" xfId="1" applyFont="1" applyFill="1" applyBorder="1" applyAlignment="1"/>
    <xf numFmtId="0" fontId="2" fillId="0" borderId="37" xfId="0" applyFont="1" applyBorder="1"/>
    <xf numFmtId="43" fontId="2" fillId="0" borderId="24" xfId="1" applyFont="1" applyFill="1" applyBorder="1" applyAlignment="1"/>
    <xf numFmtId="0" fontId="2" fillId="0" borderId="26" xfId="0" applyFont="1" applyBorder="1" applyAlignment="1">
      <alignment horizontal="center"/>
    </xf>
    <xf numFmtId="0" fontId="2" fillId="0" borderId="25" xfId="0" applyFont="1" applyBorder="1" applyAlignment="1">
      <alignment horizontal="center"/>
    </xf>
    <xf numFmtId="0" fontId="2" fillId="0" borderId="0" xfId="0" applyFont="1" applyAlignment="1">
      <alignment horizontal="center"/>
    </xf>
    <xf numFmtId="9" fontId="2" fillId="0" borderId="15" xfId="0" applyNumberFormat="1" applyFont="1" applyBorder="1" applyAlignment="1">
      <alignment horizontal="center"/>
    </xf>
    <xf numFmtId="168" fontId="2" fillId="0" borderId="15" xfId="2" applyNumberFormat="1" applyFont="1" applyFill="1" applyBorder="1" applyAlignment="1">
      <alignment horizontal="center" vertical="center"/>
    </xf>
    <xf numFmtId="0" fontId="2" fillId="0" borderId="15" xfId="0" applyFont="1" applyBorder="1" applyAlignment="1">
      <alignment horizontal="center"/>
    </xf>
    <xf numFmtId="168" fontId="2" fillId="0" borderId="0" xfId="2" applyNumberFormat="1" applyFont="1" applyFill="1" applyBorder="1" applyAlignment="1">
      <alignment horizontal="center"/>
    </xf>
    <xf numFmtId="168" fontId="2" fillId="0" borderId="32" xfId="2" applyNumberFormat="1" applyFont="1" applyFill="1" applyBorder="1" applyAlignment="1">
      <alignment horizontal="center"/>
    </xf>
    <xf numFmtId="168" fontId="2" fillId="0" borderId="24" xfId="2" applyNumberFormat="1" applyFont="1" applyFill="1" applyBorder="1" applyAlignment="1">
      <alignment horizontal="center"/>
    </xf>
    <xf numFmtId="168" fontId="2" fillId="0" borderId="33" xfId="2" applyNumberFormat="1" applyFont="1" applyFill="1" applyBorder="1" applyAlignment="1">
      <alignment horizontal="center"/>
    </xf>
    <xf numFmtId="9" fontId="2" fillId="0" borderId="26" xfId="0" applyNumberFormat="1" applyFont="1" applyBorder="1" applyAlignment="1">
      <alignment horizontal="center"/>
    </xf>
    <xf numFmtId="4" fontId="2" fillId="0" borderId="0" xfId="1" applyNumberFormat="1" applyFont="1" applyFill="1" applyBorder="1" applyAlignment="1">
      <alignment horizontal="center"/>
    </xf>
    <xf numFmtId="4" fontId="2" fillId="0" borderId="0" xfId="0" applyNumberFormat="1" applyFont="1" applyAlignment="1">
      <alignment horizontal="center"/>
    </xf>
    <xf numFmtId="4" fontId="2" fillId="0" borderId="24" xfId="1" applyNumberFormat="1" applyFont="1" applyFill="1" applyBorder="1" applyAlignment="1">
      <alignment horizontal="center"/>
    </xf>
    <xf numFmtId="4" fontId="2" fillId="0" borderId="24" xfId="0" applyNumberFormat="1" applyFont="1" applyBorder="1" applyAlignment="1">
      <alignment horizontal="center"/>
    </xf>
    <xf numFmtId="179" fontId="2" fillId="0" borderId="0" xfId="1" applyNumberFormat="1" applyFont="1" applyFill="1" applyBorder="1" applyAlignment="1">
      <alignment horizontal="center"/>
    </xf>
    <xf numFmtId="179" fontId="2" fillId="0" borderId="0" xfId="0" applyNumberFormat="1" applyFont="1" applyAlignment="1">
      <alignment horizontal="center"/>
    </xf>
    <xf numFmtId="179" fontId="2" fillId="0" borderId="24" xfId="1" applyNumberFormat="1" applyFont="1" applyFill="1" applyBorder="1" applyAlignment="1">
      <alignment horizontal="center"/>
    </xf>
    <xf numFmtId="179" fontId="2" fillId="0" borderId="24" xfId="0" applyNumberFormat="1" applyFont="1" applyBorder="1" applyAlignment="1">
      <alignment horizontal="center"/>
    </xf>
    <xf numFmtId="4" fontId="2" fillId="0" borderId="37" xfId="0" applyNumberFormat="1" applyFont="1" applyBorder="1" applyAlignment="1">
      <alignment horizontal="center"/>
    </xf>
    <xf numFmtId="4" fontId="2" fillId="0" borderId="32" xfId="0" applyNumberFormat="1" applyFont="1" applyBorder="1" applyAlignment="1">
      <alignment horizontal="center"/>
    </xf>
    <xf numFmtId="4" fontId="2" fillId="0" borderId="32" xfId="1" applyNumberFormat="1" applyFont="1" applyFill="1" applyBorder="1" applyAlignment="1">
      <alignment horizontal="center"/>
    </xf>
    <xf numFmtId="4" fontId="2" fillId="0" borderId="33" xfId="1" applyNumberFormat="1" applyFont="1" applyFill="1" applyBorder="1" applyAlignment="1">
      <alignment horizontal="center"/>
    </xf>
    <xf numFmtId="9" fontId="2" fillId="0" borderId="24" xfId="2" applyFont="1" applyFill="1" applyBorder="1" applyAlignment="1">
      <alignment horizontal="center"/>
    </xf>
    <xf numFmtId="168" fontId="2" fillId="0" borderId="0" xfId="0" applyNumberFormat="1" applyFont="1" applyAlignment="1">
      <alignment horizontal="center"/>
    </xf>
    <xf numFmtId="168" fontId="2" fillId="0" borderId="24" xfId="0" applyNumberFormat="1" applyFont="1" applyBorder="1" applyAlignment="1">
      <alignment horizontal="center"/>
    </xf>
    <xf numFmtId="9" fontId="2" fillId="0" borderId="26" xfId="2" applyFont="1" applyFill="1" applyBorder="1" applyAlignment="1">
      <alignment horizontal="center"/>
    </xf>
    <xf numFmtId="9" fontId="2" fillId="0" borderId="0" xfId="2" applyFont="1" applyFill="1" applyBorder="1" applyAlignment="1">
      <alignment horizontal="center"/>
    </xf>
    <xf numFmtId="43" fontId="2" fillId="0" borderId="29" xfId="1" applyFont="1" applyFill="1" applyBorder="1" applyAlignment="1"/>
    <xf numFmtId="43" fontId="2" fillId="0" borderId="31" xfId="1" applyFont="1" applyFill="1" applyBorder="1" applyAlignment="1"/>
    <xf numFmtId="167" fontId="2" fillId="0" borderId="15" xfId="1" applyNumberFormat="1" applyFont="1" applyFill="1" applyBorder="1" applyAlignment="1"/>
    <xf numFmtId="0" fontId="2" fillId="0" borderId="32" xfId="0" applyFont="1" applyBorder="1" applyAlignment="1">
      <alignment horizontal="left" vertical="top"/>
    </xf>
    <xf numFmtId="0" fontId="2" fillId="0" borderId="32" xfId="1" applyNumberFormat="1" applyFont="1" applyFill="1" applyBorder="1" applyAlignment="1">
      <alignment horizontal="left" vertical="top"/>
    </xf>
    <xf numFmtId="0" fontId="2" fillId="0" borderId="33" xfId="1" applyNumberFormat="1" applyFont="1" applyFill="1" applyBorder="1" applyAlignment="1">
      <alignment horizontal="left" vertical="top"/>
    </xf>
    <xf numFmtId="0" fontId="2" fillId="0" borderId="27" xfId="0" applyFont="1" applyBorder="1" applyAlignment="1">
      <alignment horizontal="center"/>
    </xf>
    <xf numFmtId="0" fontId="2" fillId="0" borderId="30" xfId="1" applyNumberFormat="1" applyFont="1" applyFill="1" applyBorder="1" applyAlignment="1">
      <alignment horizontal="center"/>
    </xf>
    <xf numFmtId="4" fontId="2" fillId="0" borderId="31" xfId="1" applyNumberFormat="1" applyFont="1" applyFill="1" applyBorder="1" applyAlignment="1">
      <alignment horizontal="center"/>
    </xf>
    <xf numFmtId="4" fontId="2" fillId="0" borderId="0" xfId="0" applyNumberFormat="1" applyFont="1"/>
    <xf numFmtId="179" fontId="2" fillId="0" borderId="31" xfId="1" applyNumberFormat="1" applyFont="1" applyFill="1" applyBorder="1" applyAlignment="1">
      <alignment horizontal="center"/>
    </xf>
    <xf numFmtId="0" fontId="2" fillId="0" borderId="32" xfId="1" applyNumberFormat="1" applyFont="1" applyFill="1" applyBorder="1" applyAlignment="1">
      <alignment horizontal="center"/>
    </xf>
    <xf numFmtId="0" fontId="2" fillId="0" borderId="33" xfId="0" applyFont="1" applyBorder="1" applyAlignment="1">
      <alignment horizontal="center"/>
    </xf>
    <xf numFmtId="4" fontId="2" fillId="0" borderId="34" xfId="1" applyNumberFormat="1" applyFont="1" applyFill="1" applyBorder="1" applyAlignment="1">
      <alignment horizontal="center"/>
    </xf>
    <xf numFmtId="4" fontId="2" fillId="0" borderId="36" xfId="1" applyNumberFormat="1" applyFont="1" applyFill="1" applyBorder="1" applyAlignment="1">
      <alignment horizontal="center"/>
    </xf>
    <xf numFmtId="4" fontId="2" fillId="0" borderId="35" xfId="1" applyNumberFormat="1" applyFont="1" applyFill="1" applyBorder="1" applyAlignment="1">
      <alignment horizontal="center"/>
    </xf>
    <xf numFmtId="4" fontId="2" fillId="0" borderId="30" xfId="1" applyNumberFormat="1" applyFont="1" applyFill="1" applyBorder="1" applyAlignment="1">
      <alignment horizontal="center"/>
    </xf>
    <xf numFmtId="174" fontId="2" fillId="0" borderId="29" xfId="0" applyNumberFormat="1" applyFont="1" applyBorder="1"/>
    <xf numFmtId="165" fontId="2" fillId="0" borderId="24" xfId="0" applyNumberFormat="1" applyFont="1" applyBorder="1"/>
    <xf numFmtId="171" fontId="2" fillId="0" borderId="24" xfId="1" applyNumberFormat="1" applyFont="1" applyFill="1" applyBorder="1" applyAlignment="1"/>
    <xf numFmtId="167" fontId="2" fillId="0" borderId="24" xfId="1" applyNumberFormat="1" applyFont="1" applyFill="1" applyBorder="1" applyAlignment="1"/>
    <xf numFmtId="43" fontId="2" fillId="0" borderId="24" xfId="0" applyNumberFormat="1" applyFont="1" applyBorder="1"/>
    <xf numFmtId="174" fontId="2" fillId="0" borderId="31" xfId="0" applyNumberFormat="1" applyFont="1" applyBorder="1"/>
    <xf numFmtId="175" fontId="2" fillId="0" borderId="0" xfId="0" applyNumberFormat="1" applyFont="1" applyAlignment="1">
      <alignment horizontal="center"/>
    </xf>
    <xf numFmtId="0" fontId="2" fillId="0" borderId="0" xfId="2" applyNumberFormat="1" applyFont="1" applyFill="1" applyBorder="1" applyAlignment="1">
      <alignment horizontal="center"/>
    </xf>
    <xf numFmtId="174" fontId="2" fillId="0" borderId="0" xfId="3" applyNumberFormat="1" applyFont="1" applyFill="1" applyBorder="1" applyAlignment="1">
      <alignment horizontal="center"/>
    </xf>
    <xf numFmtId="174" fontId="2" fillId="0" borderId="29" xfId="0" applyNumberFormat="1" applyFont="1" applyBorder="1" applyAlignment="1">
      <alignment horizontal="center"/>
    </xf>
    <xf numFmtId="0" fontId="2" fillId="0" borderId="24" xfId="0" applyFont="1" applyBorder="1" applyAlignment="1">
      <alignment horizontal="center"/>
    </xf>
    <xf numFmtId="175" fontId="2" fillId="0" borderId="24" xfId="0" applyNumberFormat="1" applyFont="1" applyBorder="1" applyAlignment="1">
      <alignment horizontal="center"/>
    </xf>
    <xf numFmtId="174" fontId="2" fillId="0" borderId="24" xfId="3" applyNumberFormat="1" applyFont="1" applyFill="1" applyBorder="1" applyAlignment="1">
      <alignment horizontal="center"/>
    </xf>
    <xf numFmtId="174" fontId="2" fillId="0" borderId="31" xfId="0" applyNumberFormat="1" applyFont="1" applyBorder="1" applyAlignment="1">
      <alignment horizontal="center"/>
    </xf>
    <xf numFmtId="3" fontId="2" fillId="0" borderId="0" xfId="1" applyNumberFormat="1" applyFont="1" applyFill="1" applyBorder="1" applyAlignment="1">
      <alignment horizontal="center"/>
    </xf>
    <xf numFmtId="3" fontId="2" fillId="0" borderId="0" xfId="0" applyNumberFormat="1" applyFont="1" applyAlignment="1">
      <alignment horizontal="center"/>
    </xf>
    <xf numFmtId="3" fontId="2" fillId="0" borderId="24" xfId="1" applyNumberFormat="1" applyFont="1" applyFill="1" applyBorder="1" applyAlignment="1">
      <alignment horizontal="center"/>
    </xf>
    <xf numFmtId="3" fontId="2" fillId="0" borderId="24" xfId="0" applyNumberFormat="1" applyFont="1" applyBorder="1" applyAlignment="1">
      <alignment horizontal="center"/>
    </xf>
    <xf numFmtId="180" fontId="2" fillId="0" borderId="0" xfId="1" applyNumberFormat="1" applyFont="1" applyFill="1" applyBorder="1" applyAlignment="1">
      <alignment horizontal="center"/>
    </xf>
    <xf numFmtId="180" fontId="2" fillId="0" borderId="24" xfId="1" applyNumberFormat="1" applyFont="1" applyFill="1" applyBorder="1" applyAlignment="1">
      <alignment horizontal="center"/>
    </xf>
    <xf numFmtId="180" fontId="2" fillId="0" borderId="24" xfId="0" applyNumberFormat="1" applyFont="1" applyBorder="1" applyAlignment="1">
      <alignment horizontal="center"/>
    </xf>
    <xf numFmtId="8" fontId="2" fillId="0" borderId="24" xfId="0" applyNumberFormat="1" applyFont="1" applyBorder="1"/>
    <xf numFmtId="0" fontId="2" fillId="0" borderId="2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wrapText="1"/>
    </xf>
    <xf numFmtId="167" fontId="2" fillId="0" borderId="26" xfId="1" applyNumberFormat="1" applyFont="1" applyFill="1" applyBorder="1" applyAlignment="1">
      <alignment horizontal="center"/>
    </xf>
    <xf numFmtId="167" fontId="2" fillId="0" borderId="26" xfId="1" quotePrefix="1" applyNumberFormat="1" applyFont="1" applyFill="1" applyBorder="1" applyAlignment="1">
      <alignment horizontal="center"/>
    </xf>
    <xf numFmtId="167" fontId="2" fillId="0" borderId="27" xfId="1" quotePrefix="1" applyNumberFormat="1" applyFont="1" applyFill="1" applyBorder="1" applyAlignment="1">
      <alignment horizontal="center"/>
    </xf>
    <xf numFmtId="0" fontId="20" fillId="0" borderId="15" xfId="0" applyFont="1" applyBorder="1" applyAlignment="1">
      <alignment horizontal="center" vertical="center"/>
    </xf>
    <xf numFmtId="164" fontId="2" fillId="0" borderId="29" xfId="3" applyFont="1" applyFill="1" applyBorder="1" applyAlignment="1"/>
    <xf numFmtId="164" fontId="2" fillId="0" borderId="24" xfId="3" applyFont="1" applyFill="1" applyBorder="1" applyAlignment="1"/>
    <xf numFmtId="167" fontId="2" fillId="0" borderId="24" xfId="0" applyNumberFormat="1" applyFont="1" applyBorder="1"/>
    <xf numFmtId="171" fontId="2" fillId="6" borderId="24" xfId="1" applyNumberFormat="1" applyFont="1" applyFill="1" applyBorder="1" applyAlignment="1"/>
    <xf numFmtId="164" fontId="2" fillId="0" borderId="31" xfId="3" applyFont="1" applyFill="1" applyBorder="1" applyAlignment="1"/>
    <xf numFmtId="171" fontId="2" fillId="0" borderId="0" xfId="0" applyNumberFormat="1" applyFont="1"/>
    <xf numFmtId="0" fontId="2" fillId="0" borderId="29" xfId="0" applyFont="1" applyBorder="1" applyAlignment="1">
      <alignment wrapText="1"/>
    </xf>
    <xf numFmtId="0" fontId="2" fillId="0" borderId="15" xfId="0" applyFont="1" applyBorder="1" applyAlignment="1">
      <alignment horizontal="center" vertical="center" wrapText="1"/>
    </xf>
    <xf numFmtId="0" fontId="26" fillId="0" borderId="0" xfId="0" applyFont="1"/>
    <xf numFmtId="9" fontId="2" fillId="0" borderId="29" xfId="2" applyFont="1" applyFill="1" applyBorder="1"/>
    <xf numFmtId="9" fontId="2" fillId="0" borderId="24" xfId="2" applyFont="1" applyFill="1" applyBorder="1"/>
    <xf numFmtId="9" fontId="2" fillId="0" borderId="31" xfId="2" applyFont="1" applyFill="1" applyBorder="1"/>
    <xf numFmtId="9" fontId="2" fillId="0" borderId="32" xfId="2" applyFont="1" applyFill="1" applyBorder="1"/>
    <xf numFmtId="9" fontId="2" fillId="0" borderId="33" xfId="2" applyFont="1" applyFill="1" applyBorder="1"/>
    <xf numFmtId="0" fontId="2" fillId="0" borderId="0" xfId="0" applyFont="1" applyAlignment="1">
      <alignment horizontal="center" vertical="center"/>
    </xf>
    <xf numFmtId="0" fontId="2" fillId="0" borderId="25" xfId="0" applyFont="1" applyBorder="1" applyAlignment="1">
      <alignment horizontal="center" vertical="center" wrapText="1"/>
    </xf>
    <xf numFmtId="166" fontId="2" fillId="0" borderId="26" xfId="1" applyNumberFormat="1" applyFont="1" applyFill="1" applyBorder="1" applyAlignment="1">
      <alignment horizontal="center" vertical="center" wrapText="1"/>
    </xf>
    <xf numFmtId="171" fontId="2" fillId="0" borderId="26" xfId="1" applyNumberFormat="1" applyFont="1" applyFill="1" applyBorder="1" applyAlignment="1">
      <alignment horizontal="center" vertical="center" wrapText="1"/>
    </xf>
    <xf numFmtId="167" fontId="2" fillId="0" borderId="26" xfId="1" applyNumberFormat="1" applyFont="1" applyFill="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176" fontId="2" fillId="0" borderId="0" xfId="1" applyNumberFormat="1" applyFont="1" applyFill="1" applyBorder="1" applyAlignment="1"/>
    <xf numFmtId="177" fontId="2" fillId="0" borderId="0" xfId="0" applyNumberFormat="1" applyFont="1"/>
    <xf numFmtId="177" fontId="2" fillId="0" borderId="24" xfId="0" applyNumberFormat="1" applyFont="1" applyBorder="1"/>
    <xf numFmtId="171" fontId="2" fillId="0" borderId="24" xfId="0" applyNumberFormat="1" applyFont="1" applyBorder="1"/>
    <xf numFmtId="43" fontId="2" fillId="6" borderId="0" xfId="1" applyFont="1" applyFill="1" applyBorder="1" applyAlignment="1"/>
    <xf numFmtId="168" fontId="2" fillId="6" borderId="0" xfId="2" applyNumberFormat="1" applyFont="1" applyFill="1" applyBorder="1" applyAlignment="1"/>
    <xf numFmtId="176" fontId="2" fillId="6" borderId="0" xfId="0" applyNumberFormat="1" applyFont="1" applyFill="1"/>
    <xf numFmtId="174" fontId="2" fillId="6" borderId="0" xfId="3" applyNumberFormat="1" applyFont="1" applyFill="1" applyBorder="1" applyAlignment="1"/>
    <xf numFmtId="174" fontId="2" fillId="6" borderId="0" xfId="0" applyNumberFormat="1" applyFont="1" applyFill="1"/>
    <xf numFmtId="8" fontId="2" fillId="6" borderId="0" xfId="0" applyNumberFormat="1" applyFont="1" applyFill="1"/>
    <xf numFmtId="43" fontId="2" fillId="6" borderId="24" xfId="1" applyFont="1" applyFill="1" applyBorder="1" applyAlignment="1"/>
    <xf numFmtId="168" fontId="2" fillId="6" borderId="24" xfId="2" applyNumberFormat="1" applyFont="1" applyFill="1" applyBorder="1" applyAlignment="1"/>
    <xf numFmtId="176" fontId="2" fillId="6" borderId="24" xfId="0" applyNumberFormat="1" applyFont="1" applyFill="1" applyBorder="1"/>
    <xf numFmtId="174" fontId="2" fillId="6" borderId="24" xfId="3" applyNumberFormat="1" applyFont="1" applyFill="1" applyBorder="1" applyAlignment="1"/>
    <xf numFmtId="174" fontId="2" fillId="6" borderId="24" xfId="0" applyNumberFormat="1" applyFont="1" applyFill="1" applyBorder="1"/>
    <xf numFmtId="8" fontId="2" fillId="6" borderId="24" xfId="0" applyNumberFormat="1" applyFont="1" applyFill="1" applyBorder="1"/>
    <xf numFmtId="9" fontId="2" fillId="6" borderId="0" xfId="0" applyNumberFormat="1" applyFont="1" applyFill="1" applyAlignment="1">
      <alignment horizontal="center"/>
    </xf>
    <xf numFmtId="0" fontId="28" fillId="0" borderId="0" xfId="5" applyFont="1"/>
    <xf numFmtId="164" fontId="18" fillId="0" borderId="19" xfId="4" applyFont="1" applyFill="1" applyBorder="1" applyAlignment="1" applyProtection="1">
      <alignment horizontal="center" vertical="center"/>
      <protection locked="0"/>
    </xf>
    <xf numFmtId="164" fontId="18" fillId="0" borderId="21" xfId="4" applyFont="1" applyFill="1" applyBorder="1" applyAlignment="1" applyProtection="1">
      <alignment horizontal="center" vertical="center"/>
      <protection locked="0"/>
    </xf>
    <xf numFmtId="174" fontId="18" fillId="0" borderId="0" xfId="0" applyNumberFormat="1" applyFont="1"/>
    <xf numFmtId="167" fontId="18" fillId="0" borderId="0" xfId="1" applyNumberFormat="1" applyFont="1" applyFill="1" applyBorder="1" applyAlignment="1" applyProtection="1">
      <alignment horizontal="center" vertical="center"/>
      <protection locked="0"/>
    </xf>
    <xf numFmtId="0" fontId="30" fillId="0" borderId="10" xfId="0" applyFont="1" applyBorder="1"/>
    <xf numFmtId="0" fontId="5" fillId="0" borderId="11" xfId="0" applyFont="1" applyBorder="1"/>
    <xf numFmtId="0" fontId="6" fillId="0" borderId="12" xfId="0" applyFont="1" applyBorder="1" applyAlignment="1">
      <alignment horizontal="left"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19" fillId="0" borderId="17" xfId="0" applyFont="1" applyBorder="1" applyAlignment="1">
      <alignment wrapText="1"/>
    </xf>
    <xf numFmtId="0" fontId="19" fillId="0" borderId="18" xfId="0" applyFont="1" applyBorder="1" applyAlignment="1">
      <alignment wrapText="1"/>
    </xf>
    <xf numFmtId="0" fontId="6" fillId="0" borderId="6" xfId="0" applyFont="1" applyBorder="1" applyAlignment="1">
      <alignment horizontal="left" wrapText="1"/>
    </xf>
    <xf numFmtId="169" fontId="18" fillId="0" borderId="22" xfId="3" applyNumberFormat="1" applyFont="1" applyFill="1" applyBorder="1" applyProtection="1"/>
    <xf numFmtId="0" fontId="18" fillId="0" borderId="22" xfId="0" applyFont="1" applyBorder="1" applyAlignment="1">
      <alignment horizontal="center" vertical="center" wrapText="1"/>
    </xf>
    <xf numFmtId="169" fontId="18" fillId="0" borderId="23" xfId="3" applyNumberFormat="1" applyFont="1" applyFill="1" applyBorder="1" applyProtection="1"/>
    <xf numFmtId="0" fontId="6" fillId="0" borderId="9" xfId="0" applyFont="1" applyBorder="1" applyAlignment="1">
      <alignment horizontal="left" wrapText="1"/>
    </xf>
    <xf numFmtId="0" fontId="6" fillId="0" borderId="0" xfId="0" applyFont="1" applyAlignment="1">
      <alignment horizontal="left" wrapText="1"/>
    </xf>
    <xf numFmtId="0" fontId="6" fillId="0" borderId="5" xfId="0" applyFont="1" applyBorder="1"/>
    <xf numFmtId="0" fontId="19" fillId="0" borderId="16" xfId="0" applyFont="1" applyBorder="1" applyAlignment="1">
      <alignment wrapText="1"/>
    </xf>
    <xf numFmtId="0" fontId="18" fillId="0" borderId="15" xfId="0" applyFont="1" applyBorder="1" applyAlignment="1">
      <alignment horizontal="center"/>
    </xf>
    <xf numFmtId="169" fontId="18" fillId="0" borderId="15" xfId="3" applyNumberFormat="1" applyFont="1" applyFill="1" applyBorder="1" applyProtection="1"/>
    <xf numFmtId="169" fontId="18" fillId="0" borderId="20" xfId="3" applyNumberFormat="1" applyFont="1" applyFill="1" applyBorder="1" applyProtection="1"/>
    <xf numFmtId="0" fontId="18" fillId="0" borderId="22" xfId="0" applyFont="1" applyBorder="1" applyAlignment="1">
      <alignment horizontal="center"/>
    </xf>
    <xf numFmtId="0" fontId="12" fillId="0" borderId="10" xfId="0" applyFont="1" applyBorder="1"/>
    <xf numFmtId="0" fontId="5" fillId="0" borderId="12" xfId="0" applyFont="1" applyBorder="1"/>
    <xf numFmtId="0" fontId="19" fillId="0" borderId="38" xfId="0" applyFont="1" applyBorder="1" applyAlignment="1">
      <alignment vertical="center" wrapText="1"/>
    </xf>
    <xf numFmtId="0" fontId="19" fillId="0" borderId="17" xfId="0" applyFont="1" applyBorder="1" applyAlignment="1">
      <alignment vertical="center" wrapText="1"/>
    </xf>
    <xf numFmtId="0" fontId="19" fillId="0" borderId="16" xfId="0" applyFont="1" applyBorder="1" applyAlignment="1">
      <alignment vertical="center" wrapText="1"/>
    </xf>
    <xf numFmtId="0" fontId="6" fillId="0" borderId="17" xfId="0" applyFont="1" applyBorder="1" applyAlignment="1">
      <alignment horizontal="center" vertical="center" wrapText="1"/>
    </xf>
    <xf numFmtId="0" fontId="19" fillId="0" borderId="18" xfId="0" applyFont="1" applyBorder="1" applyAlignment="1">
      <alignment vertical="center" wrapText="1"/>
    </xf>
    <xf numFmtId="0" fontId="6" fillId="0" borderId="6" xfId="0" applyFont="1" applyBorder="1" applyAlignment="1">
      <alignment wrapText="1"/>
    </xf>
    <xf numFmtId="0" fontId="18" fillId="0" borderId="15" xfId="0" applyFont="1" applyBorder="1" applyAlignment="1">
      <alignment horizontal="center" vertical="center" wrapText="1"/>
    </xf>
    <xf numFmtId="169" fontId="18" fillId="0" borderId="15" xfId="3" applyNumberFormat="1" applyFont="1" applyFill="1" applyBorder="1" applyAlignment="1" applyProtection="1">
      <alignment horizontal="center" vertical="center" wrapText="1"/>
    </xf>
    <xf numFmtId="169" fontId="18" fillId="0" borderId="20" xfId="3" applyNumberFormat="1" applyFont="1" applyFill="1" applyBorder="1" applyAlignment="1" applyProtection="1">
      <alignment vertical="center" wrapText="1"/>
    </xf>
    <xf numFmtId="169" fontId="18" fillId="0" borderId="22" xfId="3" applyNumberFormat="1" applyFont="1" applyFill="1" applyBorder="1" applyAlignment="1" applyProtection="1">
      <alignment horizontal="center" vertical="center" wrapText="1"/>
    </xf>
    <xf numFmtId="169" fontId="18" fillId="0" borderId="23" xfId="3" applyNumberFormat="1" applyFont="1" applyFill="1" applyBorder="1" applyAlignment="1" applyProtection="1">
      <alignment wrapText="1"/>
    </xf>
    <xf numFmtId="0" fontId="6" fillId="0" borderId="9" xfId="0" applyFont="1" applyBorder="1" applyAlignment="1">
      <alignment wrapText="1"/>
    </xf>
    <xf numFmtId="0" fontId="12" fillId="0" borderId="5" xfId="0" applyFont="1" applyBorder="1"/>
    <xf numFmtId="0" fontId="18" fillId="0" borderId="15" xfId="0" applyFont="1" applyBorder="1" applyAlignment="1">
      <alignment horizontal="center" wrapText="1"/>
    </xf>
    <xf numFmtId="169" fontId="18" fillId="0" borderId="15" xfId="3" applyNumberFormat="1" applyFont="1" applyFill="1" applyBorder="1" applyAlignment="1" applyProtection="1">
      <alignment wrapText="1"/>
    </xf>
    <xf numFmtId="169" fontId="18" fillId="0" borderId="20" xfId="3" applyNumberFormat="1" applyFont="1" applyFill="1" applyBorder="1" applyAlignment="1" applyProtection="1">
      <alignment wrapText="1"/>
    </xf>
    <xf numFmtId="0" fontId="18" fillId="0" borderId="22" xfId="0" applyFont="1" applyBorder="1" applyAlignment="1">
      <alignment horizontal="center" wrapText="1"/>
    </xf>
    <xf numFmtId="169" fontId="18" fillId="0" borderId="22" xfId="3" applyNumberFormat="1" applyFont="1" applyFill="1" applyBorder="1" applyAlignment="1" applyProtection="1">
      <alignment wrapText="1"/>
    </xf>
    <xf numFmtId="167" fontId="18" fillId="0" borderId="0" xfId="0" applyNumberFormat="1" applyFont="1" applyAlignment="1">
      <alignment horizontal="center"/>
    </xf>
    <xf numFmtId="174" fontId="18" fillId="0" borderId="0" xfId="3" applyNumberFormat="1" applyFont="1" applyFill="1" applyBorder="1" applyProtection="1"/>
    <xf numFmtId="169" fontId="18" fillId="0" borderId="15" xfId="3" applyNumberFormat="1" applyFont="1" applyFill="1" applyBorder="1" applyAlignment="1" applyProtection="1">
      <alignment vertical="center" wrapText="1"/>
    </xf>
    <xf numFmtId="169" fontId="18" fillId="0" borderId="22" xfId="3" applyNumberFormat="1" applyFont="1" applyFill="1" applyBorder="1" applyAlignment="1" applyProtection="1">
      <alignment vertical="center" wrapText="1"/>
    </xf>
    <xf numFmtId="0" fontId="31" fillId="0" borderId="0" xfId="0" applyFont="1" applyAlignment="1">
      <alignment vertical="center"/>
    </xf>
    <xf numFmtId="181" fontId="19" fillId="0" borderId="1" xfId="0" applyNumberFormat="1" applyFont="1" applyBorder="1" applyAlignment="1">
      <alignment horizontal="right" vertical="center"/>
    </xf>
    <xf numFmtId="169" fontId="13" fillId="0" borderId="0" xfId="3" applyNumberFormat="1" applyFont="1" applyFill="1" applyBorder="1" applyProtection="1"/>
    <xf numFmtId="0" fontId="5" fillId="0" borderId="0" xfId="0" applyFont="1" applyAlignment="1">
      <alignment vertical="center" wrapText="1"/>
    </xf>
    <xf numFmtId="169" fontId="5" fillId="0" borderId="0" xfId="3" applyNumberFormat="1" applyFont="1" applyFill="1" applyBorder="1" applyProtection="1"/>
    <xf numFmtId="0" fontId="12" fillId="0" borderId="0" xfId="0" applyFont="1" applyAlignment="1">
      <alignment horizontal="left" vertical="center"/>
    </xf>
    <xf numFmtId="0" fontId="6" fillId="0" borderId="0" xfId="0" applyFont="1" applyAlignment="1">
      <alignment horizontal="left" vertical="center"/>
    </xf>
    <xf numFmtId="164" fontId="5" fillId="0" borderId="15" xfId="3" applyFont="1" applyFill="1" applyBorder="1" applyAlignment="1" applyProtection="1">
      <alignment horizontal="center" vertical="center"/>
      <protection locked="0"/>
    </xf>
    <xf numFmtId="0" fontId="5" fillId="0" borderId="0" xfId="0" applyFont="1" applyAlignment="1">
      <alignment vertical="center"/>
    </xf>
    <xf numFmtId="164" fontId="5" fillId="0" borderId="15" xfId="3" applyFont="1" applyFill="1" applyBorder="1" applyAlignment="1" applyProtection="1">
      <alignment horizontal="center" vertical="center"/>
    </xf>
    <xf numFmtId="0" fontId="6" fillId="0" borderId="0" xfId="0" applyFont="1" applyAlignment="1">
      <alignment horizontal="left" vertical="center" wrapText="1"/>
    </xf>
    <xf numFmtId="164" fontId="6" fillId="0" borderId="0" xfId="4" applyFont="1" applyFill="1" applyBorder="1" applyAlignment="1" applyProtection="1">
      <alignment horizontal="center" vertical="center"/>
    </xf>
    <xf numFmtId="0" fontId="5" fillId="0" borderId="0" xfId="0" applyFont="1" applyAlignment="1">
      <alignment horizontal="left" vertical="center"/>
    </xf>
    <xf numFmtId="0" fontId="13"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164" fontId="18" fillId="0" borderId="15" xfId="3" applyFont="1" applyFill="1" applyBorder="1" applyAlignment="1" applyProtection="1">
      <alignment horizontal="left" vertical="center"/>
    </xf>
    <xf numFmtId="164" fontId="18" fillId="0" borderId="15" xfId="4" applyFont="1" applyFill="1" applyBorder="1" applyAlignment="1" applyProtection="1">
      <alignment horizontal="left" vertical="center"/>
    </xf>
    <xf numFmtId="164" fontId="19" fillId="0" borderId="15" xfId="0" applyNumberFormat="1" applyFont="1" applyBorder="1" applyAlignment="1">
      <alignment horizontal="left" vertical="center"/>
    </xf>
    <xf numFmtId="0" fontId="31" fillId="0" borderId="0" xfId="0" applyFont="1" applyAlignment="1">
      <alignment horizontal="left" vertical="center"/>
    </xf>
    <xf numFmtId="0" fontId="19" fillId="0" borderId="0" xfId="0" applyFont="1" applyAlignment="1">
      <alignment horizontal="left" vertical="center"/>
    </xf>
    <xf numFmtId="0" fontId="32" fillId="0" borderId="0" xfId="0" applyFont="1" applyAlignment="1">
      <alignment horizontal="left" vertical="center"/>
    </xf>
    <xf numFmtId="0" fontId="18" fillId="0" borderId="22" xfId="0" applyFont="1" applyBorder="1" applyAlignment="1" applyProtection="1">
      <alignment horizontal="center" vertical="center" wrapText="1"/>
      <protection locked="0"/>
    </xf>
    <xf numFmtId="0" fontId="18" fillId="0" borderId="33" xfId="0" applyFont="1" applyBorder="1" applyAlignment="1" applyProtection="1">
      <alignment horizontal="center" wrapText="1"/>
      <protection locked="0"/>
    </xf>
    <xf numFmtId="0" fontId="5" fillId="0" borderId="1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5"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22" fillId="3" borderId="0" xfId="0" applyFont="1" applyFill="1" applyAlignment="1">
      <alignment vertical="center" wrapText="1"/>
    </xf>
    <xf numFmtId="0" fontId="6" fillId="0" borderId="17" xfId="0" applyFont="1" applyBorder="1" applyAlignment="1">
      <alignment vertical="center" wrapText="1"/>
    </xf>
    <xf numFmtId="182" fontId="0" fillId="0" borderId="0" xfId="0" applyNumberFormat="1"/>
    <xf numFmtId="0" fontId="25" fillId="2" borderId="0" xfId="0" applyFont="1" applyFill="1"/>
    <xf numFmtId="0" fontId="19" fillId="0" borderId="19" xfId="0" applyFont="1" applyBorder="1" applyAlignment="1" applyProtection="1">
      <alignment vertical="center" wrapText="1"/>
      <protection locked="0"/>
    </xf>
    <xf numFmtId="0" fontId="18" fillId="0" borderId="21" xfId="0" applyFont="1" applyBorder="1" applyAlignment="1" applyProtection="1">
      <alignment wrapText="1"/>
      <protection locked="0"/>
    </xf>
    <xf numFmtId="0" fontId="19" fillId="0" borderId="21"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5" fillId="0" borderId="6" xfId="0" applyFont="1" applyBorder="1" applyAlignment="1">
      <alignment vertical="center" wrapText="1"/>
    </xf>
    <xf numFmtId="0" fontId="33" fillId="7" borderId="0" xfId="0" applyFont="1" applyFill="1" applyAlignment="1">
      <alignment horizontal="left" vertical="center" wrapText="1"/>
    </xf>
    <xf numFmtId="0" fontId="22" fillId="3" borderId="25"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27"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24" xfId="0" applyFont="1" applyBorder="1" applyAlignment="1">
      <alignment horizontal="left" vertical="center" wrapText="1"/>
    </xf>
    <xf numFmtId="0" fontId="21" fillId="3" borderId="0" xfId="0" applyFont="1" applyFill="1" applyAlignment="1">
      <alignment horizontal="left" vertical="center" wrapText="1"/>
    </xf>
    <xf numFmtId="0" fontId="23" fillId="3" borderId="0" xfId="0" applyFont="1" applyFill="1" applyAlignment="1">
      <alignment horizontal="left" vertical="center" wrapText="1"/>
    </xf>
    <xf numFmtId="0" fontId="13" fillId="0" borderId="24" xfId="0" applyFont="1" applyBorder="1" applyAlignment="1" applyProtection="1">
      <alignment horizontal="left" vertical="center"/>
      <protection locked="0"/>
    </xf>
    <xf numFmtId="0" fontId="19" fillId="0" borderId="16" xfId="0" applyFont="1" applyBorder="1" applyAlignment="1">
      <alignment horizontal="left" wrapText="1"/>
    </xf>
    <xf numFmtId="0" fontId="19" fillId="0" borderId="17" xfId="0" applyFont="1" applyBorder="1" applyAlignment="1">
      <alignment horizontal="left" wrapText="1"/>
    </xf>
    <xf numFmtId="164" fontId="18" fillId="0" borderId="21" xfId="4" applyFont="1" applyFill="1" applyBorder="1" applyAlignment="1" applyProtection="1">
      <alignment horizontal="left" vertical="center"/>
      <protection locked="0"/>
    </xf>
    <xf numFmtId="164" fontId="18" fillId="0" borderId="22" xfId="4" applyFont="1" applyFill="1" applyBorder="1" applyAlignment="1" applyProtection="1">
      <alignment horizontal="left" vertical="center"/>
      <protection locked="0"/>
    </xf>
    <xf numFmtId="0" fontId="5" fillId="0" borderId="0" xfId="0" applyFont="1" applyAlignment="1">
      <alignment horizontal="left" vertical="top"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6" fillId="0" borderId="27" xfId="0" applyFont="1" applyBorder="1" applyAlignment="1">
      <alignment horizontal="righ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2" fillId="0" borderId="30" xfId="0" applyFont="1" applyBorder="1"/>
    <xf numFmtId="0" fontId="2" fillId="0" borderId="31" xfId="0" applyFont="1" applyBorder="1"/>
    <xf numFmtId="0" fontId="2" fillId="0" borderId="25" xfId="0" applyFont="1" applyBorder="1"/>
    <xf numFmtId="0" fontId="2" fillId="0" borderId="26" xfId="0" applyFont="1" applyBorder="1"/>
    <xf numFmtId="0" fontId="2" fillId="0" borderId="27" xfId="0" applyFont="1" applyBorder="1"/>
    <xf numFmtId="0" fontId="2" fillId="0" borderId="34" xfId="0" applyFont="1" applyBorder="1"/>
    <xf numFmtId="0" fontId="2" fillId="0" borderId="35" xfId="0" applyFont="1" applyBorder="1"/>
    <xf numFmtId="0" fontId="2" fillId="0" borderId="24" xfId="0" applyFont="1" applyBorder="1"/>
    <xf numFmtId="0" fontId="2" fillId="0" borderId="32" xfId="0" applyFont="1" applyBorder="1"/>
    <xf numFmtId="0" fontId="2" fillId="0" borderId="29" xfId="0" applyFont="1" applyBorder="1"/>
    <xf numFmtId="0" fontId="2" fillId="0" borderId="36" xfId="0" applyFont="1" applyBorder="1"/>
    <xf numFmtId="0" fontId="2" fillId="0" borderId="37" xfId="0" applyFont="1" applyBorder="1"/>
    <xf numFmtId="0" fontId="2" fillId="0" borderId="28" xfId="0" applyFont="1" applyBorder="1"/>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172" fontId="2" fillId="0" borderId="0" xfId="0" applyNumberFormat="1" applyFont="1"/>
    <xf numFmtId="0" fontId="2" fillId="0" borderId="0" xfId="0" applyFont="1"/>
    <xf numFmtId="0" fontId="2" fillId="0" borderId="15" xfId="0" applyFont="1" applyBorder="1"/>
    <xf numFmtId="0" fontId="2" fillId="0" borderId="15" xfId="0" applyFont="1" applyBorder="1" applyAlignment="1">
      <alignment wrapText="1"/>
    </xf>
  </cellXfs>
  <cellStyles count="6">
    <cellStyle name="Comma" xfId="1" builtinId="3"/>
    <cellStyle name="Currency" xfId="3" builtinId="4"/>
    <cellStyle name="Currency 2" xfId="4" xr:uid="{00000000-0005-0000-0000-000002000000}"/>
    <cellStyle name="Hyperlink" xfId="5"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 Leaks</a:t>
            </a:r>
            <a:r>
              <a:rPr lang="en-US" baseline="0"/>
              <a:t> (CFM) at </a:t>
            </a:r>
            <a:r>
              <a:rPr lang="en-US"/>
              <a:t>80 Pisg for various Orifice Diameter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BackEnd!$A$63</c:f>
              <c:strCache>
                <c:ptCount val="1"/>
                <c:pt idx="0">
                  <c:v>80</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poly"/>
            <c:order val="2"/>
            <c:dispRSqr val="1"/>
            <c:dispEq val="1"/>
            <c:trendlineLbl>
              <c:layout>
                <c:manualLayout>
                  <c:x val="-6.7005424321959758E-2"/>
                  <c:y val="4.1199780971312378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strRef>
              <c:f>BackEnd!$B$57:$G$57</c:f>
              <c:strCache>
                <c:ptCount val="6"/>
                <c:pt idx="0">
                  <c:v> 1/64  </c:v>
                </c:pt>
                <c:pt idx="1">
                  <c:v> 1/32  </c:v>
                </c:pt>
                <c:pt idx="2">
                  <c:v> 1/16 </c:v>
                </c:pt>
                <c:pt idx="3">
                  <c:v> 1/8 </c:v>
                </c:pt>
                <c:pt idx="4">
                  <c:v> 1/4 </c:v>
                </c:pt>
                <c:pt idx="5">
                  <c:v> 3/8 </c:v>
                </c:pt>
              </c:strCache>
            </c:strRef>
          </c:cat>
          <c:val>
            <c:numRef>
              <c:f>BackEnd!$B$63:$G$63</c:f>
              <c:numCache>
                <c:formatCode>_(* #,##0.00_);_(* \(#,##0.00\);_(* "-"??_);_(@_)</c:formatCode>
                <c:ptCount val="6"/>
                <c:pt idx="0">
                  <c:v>0.32</c:v>
                </c:pt>
                <c:pt idx="1">
                  <c:v>1.26</c:v>
                </c:pt>
                <c:pt idx="2">
                  <c:v>5.24</c:v>
                </c:pt>
                <c:pt idx="3">
                  <c:v>20.76</c:v>
                </c:pt>
                <c:pt idx="4">
                  <c:v>83.1</c:v>
                </c:pt>
                <c:pt idx="5">
                  <c:v>187.2</c:v>
                </c:pt>
              </c:numCache>
            </c:numRef>
          </c:val>
          <c:smooth val="0"/>
          <c:extLst>
            <c:ext xmlns:c16="http://schemas.microsoft.com/office/drawing/2014/chart" uri="{C3380CC4-5D6E-409C-BE32-E72D297353CC}">
              <c16:uniqueId val="{00000001-DEEB-45F9-B58C-018C55FE5483}"/>
            </c:ext>
          </c:extLst>
        </c:ser>
        <c:dLbls>
          <c:showLegendKey val="0"/>
          <c:showVal val="0"/>
          <c:showCatName val="0"/>
          <c:showSerName val="0"/>
          <c:showPercent val="0"/>
          <c:showBubbleSize val="0"/>
        </c:dLbls>
        <c:smooth val="0"/>
        <c:axId val="168615296"/>
        <c:axId val="179385472"/>
      </c:lineChart>
      <c:catAx>
        <c:axId val="16861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385472"/>
        <c:crosses val="autoZero"/>
        <c:auto val="1"/>
        <c:lblAlgn val="ctr"/>
        <c:lblOffset val="100"/>
        <c:noMultiLvlLbl val="0"/>
      </c:catAx>
      <c:valAx>
        <c:axId val="179385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1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74</xdr:row>
      <xdr:rowOff>0</xdr:rowOff>
    </xdr:from>
    <xdr:to>
      <xdr:col>6</xdr:col>
      <xdr:colOff>619125</xdr:colOff>
      <xdr:row>74</xdr:row>
      <xdr:rowOff>0</xdr:rowOff>
    </xdr:to>
    <xdr:sp macro="" textlink="">
      <xdr:nvSpPr>
        <xdr:cNvPr id="4" name="Text Box 36">
          <a:extLst>
            <a:ext uri="{FF2B5EF4-FFF2-40B4-BE49-F238E27FC236}">
              <a16:creationId xmlns:a16="http://schemas.microsoft.com/office/drawing/2014/main" id="{00000000-0008-0000-0000-000004000000}"/>
            </a:ext>
          </a:extLst>
        </xdr:cNvPr>
        <xdr:cNvSpPr txBox="1">
          <a:spLocks noChangeArrowheads="1"/>
        </xdr:cNvSpPr>
      </xdr:nvSpPr>
      <xdr:spPr bwMode="auto">
        <a:xfrm>
          <a:off x="5086350" y="12411075"/>
          <a:ext cx="501967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1</xdr:col>
      <xdr:colOff>0</xdr:colOff>
      <xdr:row>0</xdr:row>
      <xdr:rowOff>95250</xdr:rowOff>
    </xdr:from>
    <xdr:to>
      <xdr:col>1</xdr:col>
      <xdr:colOff>1129667</xdr:colOff>
      <xdr:row>0</xdr:row>
      <xdr:rowOff>588716</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33350" y="95250"/>
          <a:ext cx="1137287" cy="504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571500</xdr:colOff>
      <xdr:row>55</xdr:row>
      <xdr:rowOff>147638</xdr:rowOff>
    </xdr:from>
    <xdr:to>
      <xdr:col>15</xdr:col>
      <xdr:colOff>180975</xdr:colOff>
      <xdr:row>71</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0"/>
  <sheetViews>
    <sheetView tabSelected="1" zoomScale="90" zoomScaleNormal="90" zoomScaleSheetLayoutView="110" zoomScalePageLayoutView="80" workbookViewId="0">
      <selection activeCell="B3" sqref="B3:G3"/>
    </sheetView>
  </sheetViews>
  <sheetFormatPr defaultColWidth="9.109375" defaultRowHeight="13.2" zeroHeight="1"/>
  <cols>
    <col min="1" max="1" width="2" style="60" customWidth="1"/>
    <col min="2" max="2" width="36.33203125" style="60" customWidth="1"/>
    <col min="3" max="3" width="31.33203125" style="60" customWidth="1"/>
    <col min="4" max="4" width="18.33203125" style="60" customWidth="1"/>
    <col min="5" max="6" width="17.6640625" style="60" customWidth="1"/>
    <col min="7" max="7" width="28.33203125" style="60" customWidth="1"/>
    <col min="8" max="8" width="2.88671875" style="60" customWidth="1"/>
    <col min="9" max="9" width="3.44140625" style="31" hidden="1" customWidth="1"/>
    <col min="10" max="10" width="6.6640625" style="61" hidden="1" customWidth="1"/>
    <col min="11" max="11" width="2.88671875" style="62" hidden="1" customWidth="1"/>
    <col min="12" max="16380" width="9.109375" style="31" hidden="1" customWidth="1"/>
    <col min="16381" max="16381" width="0.44140625" style="31" hidden="1" customWidth="1"/>
    <col min="16382" max="16382" width="3" style="31" hidden="1" customWidth="1"/>
    <col min="16383" max="16383" width="4.44140625" style="31" hidden="1" customWidth="1"/>
    <col min="16384" max="16384" width="7.33203125" style="31" hidden="1" customWidth="1"/>
  </cols>
  <sheetData>
    <row r="1" spans="1:29" ht="55.5" customHeight="1">
      <c r="B1" s="63"/>
      <c r="C1" s="298" t="s">
        <v>0</v>
      </c>
      <c r="D1" s="299"/>
      <c r="E1" s="299"/>
      <c r="F1" s="299"/>
      <c r="G1" s="300"/>
      <c r="H1" s="287"/>
    </row>
    <row r="2" spans="1:29" ht="48.75" customHeight="1">
      <c r="A2" s="31"/>
      <c r="B2" s="297" t="s">
        <v>1</v>
      </c>
      <c r="C2" s="297"/>
      <c r="D2" s="297"/>
      <c r="E2" s="297"/>
      <c r="F2" s="297"/>
      <c r="G2" s="297"/>
      <c r="H2" s="297"/>
    </row>
    <row r="3" spans="1:29" ht="409.5" customHeight="1" thickBot="1">
      <c r="B3" s="314" t="s">
        <v>2</v>
      </c>
      <c r="C3" s="315"/>
      <c r="D3" s="315"/>
      <c r="E3" s="315"/>
      <c r="F3" s="315"/>
      <c r="G3" s="315"/>
      <c r="H3" s="63"/>
    </row>
    <row r="4" spans="1:29" ht="14.4" customHeight="1">
      <c r="B4" s="215" t="s">
        <v>3</v>
      </c>
      <c r="C4" s="216"/>
      <c r="D4" s="216"/>
      <c r="E4" s="216"/>
      <c r="F4" s="216"/>
      <c r="G4" s="217"/>
      <c r="H4" s="64"/>
      <c r="J4" s="65"/>
      <c r="AC4" s="65"/>
    </row>
    <row r="5" spans="1:29" ht="29.25" customHeight="1">
      <c r="B5" s="304" t="s">
        <v>4</v>
      </c>
      <c r="C5" s="305"/>
      <c r="D5" s="305"/>
      <c r="E5" s="305"/>
      <c r="F5" s="305"/>
      <c r="G5" s="306"/>
      <c r="H5" s="64"/>
      <c r="J5" s="65"/>
      <c r="AC5" s="65"/>
    </row>
    <row r="6" spans="1:29" ht="13.95" customHeight="1" thickBot="1">
      <c r="B6" s="218"/>
      <c r="C6" s="219"/>
      <c r="D6" s="219"/>
      <c r="E6" s="219"/>
      <c r="F6" s="219"/>
      <c r="G6" s="220"/>
      <c r="H6" s="64"/>
      <c r="J6" s="65"/>
      <c r="AC6" s="65"/>
    </row>
    <row r="7" spans="1:29" ht="24">
      <c r="B7" s="317" t="s">
        <v>5</v>
      </c>
      <c r="C7" s="318"/>
      <c r="D7" s="221" t="s">
        <v>6</v>
      </c>
      <c r="E7" s="221" t="s">
        <v>7</v>
      </c>
      <c r="F7" s="222" t="s">
        <v>8</v>
      </c>
      <c r="G7" s="223"/>
      <c r="H7" s="64"/>
      <c r="AC7" s="65"/>
    </row>
    <row r="8" spans="1:29" ht="24" customHeight="1" thickBot="1">
      <c r="B8" s="319" t="s">
        <v>9</v>
      </c>
      <c r="C8" s="320"/>
      <c r="D8" s="224">
        <v>280</v>
      </c>
      <c r="E8" s="281"/>
      <c r="F8" s="226">
        <f>+D8*E8</f>
        <v>0</v>
      </c>
      <c r="G8" s="227"/>
      <c r="H8" s="64"/>
      <c r="AC8" s="65"/>
    </row>
    <row r="9" spans="1:29" ht="13.8" thickBot="1">
      <c r="B9" s="1"/>
      <c r="C9" s="1"/>
      <c r="D9" s="1"/>
      <c r="E9" s="1"/>
      <c r="F9" s="1"/>
      <c r="G9" s="228"/>
      <c r="H9" s="64"/>
      <c r="AC9" s="65"/>
    </row>
    <row r="10" spans="1:29" ht="13.8">
      <c r="B10" s="215" t="s">
        <v>10</v>
      </c>
      <c r="C10" s="216"/>
      <c r="D10" s="216"/>
      <c r="E10" s="216"/>
      <c r="F10" s="216"/>
      <c r="G10" s="217"/>
      <c r="H10" s="64"/>
      <c r="AC10" s="65"/>
    </row>
    <row r="11" spans="1:29" ht="36" customHeight="1">
      <c r="B11" s="304" t="s">
        <v>11</v>
      </c>
      <c r="C11" s="305"/>
      <c r="D11" s="305"/>
      <c r="E11" s="305"/>
      <c r="F11" s="305"/>
      <c r="G11" s="306"/>
      <c r="H11" s="64"/>
      <c r="AC11" s="65"/>
    </row>
    <row r="12" spans="1:29" ht="13.8" thickBot="1">
      <c r="B12" s="229"/>
      <c r="C12" s="1"/>
      <c r="D12" s="1"/>
      <c r="E12" s="1"/>
      <c r="F12" s="1"/>
      <c r="G12" s="223"/>
      <c r="H12" s="64"/>
      <c r="AC12" s="65"/>
    </row>
    <row r="13" spans="1:29" ht="36">
      <c r="B13" s="230" t="s">
        <v>12</v>
      </c>
      <c r="C13" s="221" t="s">
        <v>13</v>
      </c>
      <c r="D13" s="221" t="s">
        <v>14</v>
      </c>
      <c r="E13" s="221" t="s">
        <v>15</v>
      </c>
      <c r="F13" s="222" t="s">
        <v>8</v>
      </c>
      <c r="G13" s="223"/>
      <c r="H13" s="64"/>
      <c r="AC13" s="65"/>
    </row>
    <row r="14" spans="1:29" ht="22.95" customHeight="1">
      <c r="B14" s="211" t="s">
        <v>9</v>
      </c>
      <c r="C14" s="231" t="s">
        <v>16</v>
      </c>
      <c r="D14" s="232">
        <v>40</v>
      </c>
      <c r="E14" s="282"/>
      <c r="F14" s="233">
        <f>+D14*E14</f>
        <v>0</v>
      </c>
      <c r="G14" s="223"/>
      <c r="H14" s="66"/>
      <c r="AC14" s="65"/>
    </row>
    <row r="15" spans="1:29" ht="22.95" customHeight="1">
      <c r="B15" s="211" t="s">
        <v>9</v>
      </c>
      <c r="C15" s="231" t="s">
        <v>17</v>
      </c>
      <c r="D15" s="232">
        <v>70</v>
      </c>
      <c r="E15" s="282"/>
      <c r="F15" s="233">
        <f>+D15*E15</f>
        <v>0</v>
      </c>
      <c r="G15" s="223"/>
      <c r="H15" s="66"/>
      <c r="AC15" s="65"/>
    </row>
    <row r="16" spans="1:29" ht="22.95" customHeight="1">
      <c r="B16" s="211" t="s">
        <v>18</v>
      </c>
      <c r="C16" s="231" t="s">
        <v>19</v>
      </c>
      <c r="D16" s="232">
        <v>120</v>
      </c>
      <c r="E16" s="282"/>
      <c r="F16" s="233">
        <f>+D16*E16</f>
        <v>0</v>
      </c>
      <c r="G16" s="223"/>
      <c r="H16" s="66"/>
      <c r="AC16" s="65"/>
    </row>
    <row r="17" spans="2:29" ht="22.95" customHeight="1" thickBot="1">
      <c r="B17" s="212" t="s">
        <v>9</v>
      </c>
      <c r="C17" s="234" t="s">
        <v>20</v>
      </c>
      <c r="D17" s="224">
        <v>170</v>
      </c>
      <c r="E17" s="282"/>
      <c r="F17" s="226">
        <f>+D17*E17</f>
        <v>0</v>
      </c>
      <c r="G17" s="227"/>
      <c r="H17" s="66"/>
      <c r="AC17" s="61" t="s">
        <v>21</v>
      </c>
    </row>
    <row r="18" spans="2:29" ht="13.8" thickBot="1">
      <c r="B18" s="228"/>
      <c r="C18" s="228"/>
      <c r="D18" s="228"/>
      <c r="E18" s="228"/>
      <c r="F18" s="228"/>
      <c r="G18" s="228"/>
      <c r="H18" s="64"/>
      <c r="AC18" s="61" t="s">
        <v>22</v>
      </c>
    </row>
    <row r="19" spans="2:29" ht="15.6">
      <c r="B19" s="235" t="s">
        <v>23</v>
      </c>
      <c r="C19" s="216"/>
      <c r="D19" s="216"/>
      <c r="E19" s="216"/>
      <c r="F19" s="216"/>
      <c r="G19" s="236"/>
    </row>
    <row r="20" spans="2:29" ht="84.6" customHeight="1" thickBot="1">
      <c r="B20" s="307" t="s">
        <v>24</v>
      </c>
      <c r="C20" s="308"/>
      <c r="D20" s="308"/>
      <c r="E20" s="308"/>
      <c r="F20" s="308"/>
      <c r="G20" s="309"/>
    </row>
    <row r="21" spans="2:29" ht="36">
      <c r="B21" s="237" t="s">
        <v>25</v>
      </c>
      <c r="C21" s="238" t="s">
        <v>26</v>
      </c>
      <c r="D21" s="239" t="s">
        <v>27</v>
      </c>
      <c r="E21" s="240" t="s">
        <v>28</v>
      </c>
      <c r="F21" s="241" t="s">
        <v>8</v>
      </c>
      <c r="G21" s="242"/>
      <c r="H21" s="67"/>
    </row>
    <row r="22" spans="2:29" ht="21" customHeight="1">
      <c r="B22" s="291"/>
      <c r="C22" s="243" t="s">
        <v>29</v>
      </c>
      <c r="D22" s="244">
        <v>780</v>
      </c>
      <c r="E22" s="283"/>
      <c r="F22" s="245">
        <f t="shared" ref="F22:F29" si="0">D22*E22</f>
        <v>0</v>
      </c>
      <c r="G22" s="242"/>
      <c r="H22" s="67"/>
    </row>
    <row r="23" spans="2:29" ht="21" customHeight="1">
      <c r="B23" s="291"/>
      <c r="C23" s="243" t="s">
        <v>30</v>
      </c>
      <c r="D23" s="244">
        <v>1560</v>
      </c>
      <c r="E23" s="283"/>
      <c r="F23" s="245">
        <f t="shared" si="0"/>
        <v>0</v>
      </c>
      <c r="G23" s="242"/>
      <c r="H23" s="67"/>
    </row>
    <row r="24" spans="2:29" ht="21" customHeight="1">
      <c r="B24" s="291"/>
      <c r="C24" s="243" t="s">
        <v>31</v>
      </c>
      <c r="D24" s="244">
        <v>2340</v>
      </c>
      <c r="E24" s="283"/>
      <c r="F24" s="245">
        <f t="shared" si="0"/>
        <v>0</v>
      </c>
      <c r="G24" s="242"/>
      <c r="H24" s="67"/>
    </row>
    <row r="25" spans="2:29" ht="21" customHeight="1">
      <c r="B25" s="291"/>
      <c r="C25" s="243" t="s">
        <v>32</v>
      </c>
      <c r="D25" s="244">
        <v>3120</v>
      </c>
      <c r="E25" s="283"/>
      <c r="F25" s="245">
        <f t="shared" si="0"/>
        <v>0</v>
      </c>
      <c r="G25" s="242"/>
      <c r="H25" s="67"/>
    </row>
    <row r="26" spans="2:29" ht="21" customHeight="1">
      <c r="B26" s="291"/>
      <c r="C26" s="243" t="s">
        <v>33</v>
      </c>
      <c r="D26" s="244">
        <v>3820</v>
      </c>
      <c r="E26" s="283"/>
      <c r="F26" s="245">
        <f t="shared" si="0"/>
        <v>0</v>
      </c>
      <c r="G26" s="242"/>
      <c r="H26" s="67"/>
    </row>
    <row r="27" spans="2:29" ht="21" customHeight="1">
      <c r="B27" s="291"/>
      <c r="C27" s="243" t="s">
        <v>34</v>
      </c>
      <c r="D27" s="244">
        <v>7640</v>
      </c>
      <c r="E27" s="283"/>
      <c r="F27" s="245">
        <f t="shared" si="0"/>
        <v>0</v>
      </c>
      <c r="G27" s="242"/>
      <c r="H27" s="67"/>
    </row>
    <row r="28" spans="2:29" ht="21" customHeight="1">
      <c r="B28" s="291"/>
      <c r="C28" s="243" t="s">
        <v>35</v>
      </c>
      <c r="D28" s="244">
        <v>11460</v>
      </c>
      <c r="E28" s="283"/>
      <c r="F28" s="245">
        <f t="shared" si="0"/>
        <v>0</v>
      </c>
      <c r="G28" s="242"/>
      <c r="H28" s="67"/>
    </row>
    <row r="29" spans="2:29" ht="21" customHeight="1" thickBot="1">
      <c r="B29" s="292"/>
      <c r="C29" s="225" t="s">
        <v>36</v>
      </c>
      <c r="D29" s="246">
        <v>15280</v>
      </c>
      <c r="E29" s="284"/>
      <c r="F29" s="247">
        <f t="shared" si="0"/>
        <v>0</v>
      </c>
      <c r="G29" s="248"/>
      <c r="H29" s="67"/>
    </row>
    <row r="30" spans="2:29" ht="13.8" thickBot="1">
      <c r="B30" s="1"/>
      <c r="C30" s="1"/>
      <c r="D30" s="1"/>
      <c r="E30" s="1"/>
      <c r="F30" s="1"/>
      <c r="G30" s="1"/>
    </row>
    <row r="31" spans="2:29" ht="15.6">
      <c r="B31" s="235" t="s">
        <v>37</v>
      </c>
      <c r="C31" s="216"/>
      <c r="D31" s="216"/>
      <c r="E31" s="216"/>
      <c r="F31" s="216"/>
      <c r="G31" s="236"/>
    </row>
    <row r="32" spans="2:29" ht="59.4" customHeight="1">
      <c r="B32" s="304" t="s">
        <v>38</v>
      </c>
      <c r="C32" s="305"/>
      <c r="D32" s="305"/>
      <c r="E32" s="305"/>
      <c r="F32" s="305"/>
      <c r="G32" s="306"/>
    </row>
    <row r="33" spans="2:8" ht="16.2" customHeight="1" thickBot="1">
      <c r="B33" s="249"/>
      <c r="C33" s="1"/>
      <c r="D33" s="1"/>
      <c r="E33" s="1"/>
      <c r="F33" s="1"/>
      <c r="G33" s="29"/>
    </row>
    <row r="34" spans="2:8" ht="50.25" customHeight="1">
      <c r="B34" s="239" t="s">
        <v>39</v>
      </c>
      <c r="C34" s="238" t="s">
        <v>40</v>
      </c>
      <c r="D34" s="288" t="s">
        <v>41</v>
      </c>
      <c r="E34" s="240" t="s">
        <v>28</v>
      </c>
      <c r="F34" s="241" t="s">
        <v>8</v>
      </c>
      <c r="G34" s="29"/>
      <c r="H34" s="67"/>
    </row>
    <row r="35" spans="2:8" ht="25.2" customHeight="1">
      <c r="B35" s="291"/>
      <c r="C35" s="250" t="s">
        <v>42</v>
      </c>
      <c r="D35" s="251">
        <v>160</v>
      </c>
      <c r="E35" s="285"/>
      <c r="F35" s="252">
        <f t="shared" ref="F35:F37" si="1">D35*E35</f>
        <v>0</v>
      </c>
      <c r="G35" s="242"/>
      <c r="H35" s="67"/>
    </row>
    <row r="36" spans="2:8" ht="25.2" customHeight="1">
      <c r="B36" s="291"/>
      <c r="C36" s="250" t="s">
        <v>43</v>
      </c>
      <c r="D36" s="251">
        <v>400</v>
      </c>
      <c r="E36" s="285"/>
      <c r="F36" s="252">
        <f t="shared" si="1"/>
        <v>0</v>
      </c>
      <c r="G36" s="242"/>
      <c r="H36" s="67"/>
    </row>
    <row r="37" spans="2:8" ht="25.2" customHeight="1" thickBot="1">
      <c r="B37" s="293"/>
      <c r="C37" s="253" t="s">
        <v>44</v>
      </c>
      <c r="D37" s="254">
        <v>820</v>
      </c>
      <c r="E37" s="286"/>
      <c r="F37" s="247">
        <f t="shared" si="1"/>
        <v>0</v>
      </c>
      <c r="G37" s="248"/>
      <c r="H37" s="67"/>
    </row>
    <row r="38" spans="2:8" ht="13.8" thickBot="1">
      <c r="B38" s="1"/>
      <c r="C38" s="1"/>
      <c r="D38" s="1"/>
      <c r="E38" s="1"/>
      <c r="F38" s="1"/>
      <c r="G38" s="1"/>
    </row>
    <row r="39" spans="2:8" ht="15.6">
      <c r="B39" s="235" t="s">
        <v>45</v>
      </c>
      <c r="C39" s="216"/>
      <c r="D39" s="216"/>
      <c r="E39" s="216"/>
      <c r="F39" s="216"/>
      <c r="G39" s="236"/>
    </row>
    <row r="40" spans="2:8" ht="78.599999999999994" customHeight="1">
      <c r="B40" s="307" t="s">
        <v>46</v>
      </c>
      <c r="C40" s="308"/>
      <c r="D40" s="308"/>
      <c r="E40" s="308"/>
      <c r="F40" s="308"/>
      <c r="G40" s="309"/>
    </row>
    <row r="41" spans="2:8" ht="16.2" thickBot="1">
      <c r="B41" s="249"/>
      <c r="C41" s="1"/>
      <c r="D41" s="1"/>
      <c r="E41" s="1"/>
      <c r="F41" s="1"/>
      <c r="G41" s="29"/>
    </row>
    <row r="42" spans="2:8" ht="48.6" customHeight="1">
      <c r="B42" s="237" t="s">
        <v>47</v>
      </c>
      <c r="C42" s="238" t="s">
        <v>48</v>
      </c>
      <c r="D42" s="238" t="s">
        <v>49</v>
      </c>
      <c r="E42" s="240" t="s">
        <v>28</v>
      </c>
      <c r="F42" s="241" t="s">
        <v>8</v>
      </c>
      <c r="G42" s="29"/>
      <c r="H42" s="67"/>
    </row>
    <row r="43" spans="2:8" ht="25.35" customHeight="1">
      <c r="B43" s="294"/>
      <c r="C43" s="243" t="s">
        <v>42</v>
      </c>
      <c r="D43" s="251">
        <v>980</v>
      </c>
      <c r="E43" s="285"/>
      <c r="F43" s="252">
        <f t="shared" ref="F43:F45" si="2">D43*E43</f>
        <v>0</v>
      </c>
      <c r="G43" s="242"/>
      <c r="H43" s="67"/>
    </row>
    <row r="44" spans="2:8" ht="25.35" customHeight="1">
      <c r="B44" s="294"/>
      <c r="C44" s="243" t="s">
        <v>43</v>
      </c>
      <c r="D44" s="251">
        <v>2460</v>
      </c>
      <c r="E44" s="285"/>
      <c r="F44" s="252">
        <f t="shared" si="2"/>
        <v>0</v>
      </c>
      <c r="G44" s="242"/>
      <c r="H44" s="67"/>
    </row>
    <row r="45" spans="2:8" ht="25.35" customHeight="1" thickBot="1">
      <c r="B45" s="295"/>
      <c r="C45" s="225" t="s">
        <v>44</v>
      </c>
      <c r="D45" s="254">
        <v>5460</v>
      </c>
      <c r="E45" s="286"/>
      <c r="F45" s="247">
        <f t="shared" si="2"/>
        <v>0</v>
      </c>
      <c r="G45" s="248"/>
      <c r="H45" s="67"/>
    </row>
    <row r="46" spans="2:8" ht="15" customHeight="1" thickBot="1">
      <c r="B46" s="255"/>
      <c r="C46" s="255"/>
      <c r="D46" s="213"/>
      <c r="E46" s="214"/>
      <c r="F46" s="256"/>
      <c r="G46" s="1"/>
      <c r="H46" s="68"/>
    </row>
    <row r="47" spans="2:8" ht="15.6">
      <c r="B47" s="235" t="s">
        <v>50</v>
      </c>
      <c r="C47" s="216"/>
      <c r="D47" s="216"/>
      <c r="E47" s="216"/>
      <c r="F47" s="216"/>
      <c r="G47" s="236"/>
      <c r="H47" s="68"/>
    </row>
    <row r="48" spans="2:8" ht="49.95" customHeight="1" thickBot="1">
      <c r="B48" s="325" t="s">
        <v>51</v>
      </c>
      <c r="C48" s="326"/>
      <c r="D48" s="326"/>
      <c r="E48" s="326"/>
      <c r="F48" s="326"/>
      <c r="G48" s="296"/>
      <c r="H48" s="68"/>
    </row>
    <row r="49" spans="2:8" ht="36">
      <c r="B49" s="239" t="s">
        <v>52</v>
      </c>
      <c r="C49" s="238" t="s">
        <v>53</v>
      </c>
      <c r="D49" s="221" t="s">
        <v>54</v>
      </c>
      <c r="E49" s="240" t="s">
        <v>28</v>
      </c>
      <c r="F49" s="222" t="s">
        <v>8</v>
      </c>
      <c r="G49" s="29"/>
      <c r="H49" s="68"/>
    </row>
    <row r="50" spans="2:8" ht="25.35" customHeight="1">
      <c r="B50" s="291"/>
      <c r="C50" s="243" t="s">
        <v>55</v>
      </c>
      <c r="D50" s="257">
        <v>300</v>
      </c>
      <c r="E50" s="285"/>
      <c r="F50" s="252">
        <f t="shared" ref="F50:F54" si="3">D50*E50</f>
        <v>0</v>
      </c>
      <c r="G50" s="242"/>
      <c r="H50" s="68"/>
    </row>
    <row r="51" spans="2:8" ht="25.35" customHeight="1">
      <c r="B51" s="291"/>
      <c r="C51" s="243" t="s">
        <v>56</v>
      </c>
      <c r="D51" s="257">
        <v>580</v>
      </c>
      <c r="E51" s="285"/>
      <c r="F51" s="252">
        <f t="shared" si="3"/>
        <v>0</v>
      </c>
      <c r="G51" s="242"/>
      <c r="H51" s="68"/>
    </row>
    <row r="52" spans="2:8" ht="25.35" customHeight="1">
      <c r="B52" s="291"/>
      <c r="C52" s="243" t="s">
        <v>57</v>
      </c>
      <c r="D52" s="257">
        <v>880</v>
      </c>
      <c r="E52" s="285"/>
      <c r="F52" s="252">
        <f t="shared" si="3"/>
        <v>0</v>
      </c>
      <c r="G52" s="242"/>
      <c r="H52" s="68"/>
    </row>
    <row r="53" spans="2:8" ht="25.35" customHeight="1">
      <c r="B53" s="291"/>
      <c r="C53" s="243" t="s">
        <v>58</v>
      </c>
      <c r="D53" s="257">
        <v>1160</v>
      </c>
      <c r="E53" s="285"/>
      <c r="F53" s="252">
        <f t="shared" si="3"/>
        <v>0</v>
      </c>
      <c r="G53" s="242"/>
      <c r="H53" s="68"/>
    </row>
    <row r="54" spans="2:8" ht="25.35" customHeight="1" thickBot="1">
      <c r="B54" s="293"/>
      <c r="C54" s="225" t="s">
        <v>59</v>
      </c>
      <c r="D54" s="258">
        <v>1460</v>
      </c>
      <c r="E54" s="286"/>
      <c r="F54" s="247">
        <f t="shared" si="3"/>
        <v>0</v>
      </c>
      <c r="G54" s="248"/>
      <c r="H54" s="68"/>
    </row>
    <row r="55" spans="2:8" ht="13.8" thickBot="1">
      <c r="B55" s="1"/>
      <c r="C55" s="1"/>
      <c r="D55" s="1"/>
      <c r="E55" s="1"/>
      <c r="F55" s="1"/>
      <c r="G55" s="1"/>
    </row>
    <row r="56" spans="2:8" ht="15.75" customHeight="1" thickBot="1">
      <c r="B56" s="259"/>
      <c r="C56" s="310" t="s">
        <v>60</v>
      </c>
      <c r="D56" s="311"/>
      <c r="E56" s="312"/>
      <c r="F56" s="260">
        <f>SUM(F50:F54)+SUM(F43:F45)+SUM(F35:F37)+SUM(F22:F29)+SUM(F14:F17)+F8</f>
        <v>0</v>
      </c>
      <c r="G56" s="261"/>
      <c r="H56" s="69"/>
    </row>
    <row r="57" spans="2:8">
      <c r="B57" s="262"/>
      <c r="C57" s="262"/>
      <c r="D57" s="262"/>
      <c r="E57" s="262"/>
      <c r="F57" s="262"/>
      <c r="G57" s="263"/>
      <c r="H57" s="69"/>
    </row>
    <row r="58" spans="2:8" s="57" customFormat="1" ht="15.6">
      <c r="B58" s="264" t="s">
        <v>61</v>
      </c>
      <c r="C58" s="265"/>
      <c r="D58" s="265"/>
      <c r="E58" s="265"/>
      <c r="F58" s="265"/>
      <c r="G58" s="265"/>
      <c r="H58" s="25"/>
    </row>
    <row r="59" spans="2:8" s="57" customFormat="1" ht="33.75" customHeight="1">
      <c r="B59" s="313" t="s">
        <v>62</v>
      </c>
      <c r="C59" s="313"/>
      <c r="D59" s="313"/>
      <c r="E59" s="313"/>
      <c r="F59" s="313"/>
      <c r="G59" s="308"/>
      <c r="H59" s="70"/>
    </row>
    <row r="60" spans="2:8" s="57" customFormat="1" ht="16.5" customHeight="1">
      <c r="B60" s="301" t="s">
        <v>63</v>
      </c>
      <c r="C60" s="302"/>
      <c r="D60" s="302"/>
      <c r="E60" s="303"/>
      <c r="F60" s="266"/>
      <c r="G60" s="267"/>
    </row>
    <row r="61" spans="2:8" s="57" customFormat="1" ht="16.5" customHeight="1">
      <c r="B61" s="301" t="s">
        <v>64</v>
      </c>
      <c r="C61" s="302"/>
      <c r="D61" s="302"/>
      <c r="E61" s="303"/>
      <c r="F61" s="266"/>
      <c r="G61" s="267"/>
    </row>
    <row r="62" spans="2:8" s="57" customFormat="1" ht="16.5" customHeight="1">
      <c r="B62" s="301" t="s">
        <v>65</v>
      </c>
      <c r="C62" s="302"/>
      <c r="D62" s="302"/>
      <c r="E62" s="303"/>
      <c r="F62" s="266"/>
      <c r="G62" s="267"/>
    </row>
    <row r="63" spans="2:8" s="57" customFormat="1" ht="16.5" customHeight="1">
      <c r="B63" s="322" t="s">
        <v>66</v>
      </c>
      <c r="C63" s="323"/>
      <c r="D63" s="323"/>
      <c r="E63" s="324"/>
      <c r="F63" s="268">
        <f>SUM(F60:F62)</f>
        <v>0</v>
      </c>
      <c r="G63" s="267"/>
    </row>
    <row r="64" spans="2:8" s="57" customFormat="1" ht="16.5" customHeight="1">
      <c r="B64" s="269"/>
      <c r="C64" s="269"/>
      <c r="D64" s="269"/>
      <c r="E64" s="269"/>
      <c r="F64" s="270"/>
      <c r="G64" s="267"/>
    </row>
    <row r="65" spans="2:11" s="57" customFormat="1" ht="15.6">
      <c r="B65" s="265" t="s">
        <v>67</v>
      </c>
      <c r="C65" s="265"/>
      <c r="D65" s="265"/>
      <c r="E65" s="265"/>
      <c r="F65" s="265"/>
      <c r="G65" s="265"/>
      <c r="H65" s="25"/>
    </row>
    <row r="66" spans="2:11" s="57" customFormat="1" ht="14.4">
      <c r="B66" s="321" t="s">
        <v>68</v>
      </c>
      <c r="C66" s="321"/>
      <c r="D66" s="321"/>
      <c r="E66" s="321"/>
      <c r="F66" s="321"/>
      <c r="G66" s="262"/>
      <c r="H66" s="58"/>
    </row>
    <row r="67" spans="2:11" s="57" customFormat="1" ht="14.4">
      <c r="B67" s="271" t="s">
        <v>69</v>
      </c>
      <c r="C67" s="271"/>
      <c r="D67" s="271"/>
      <c r="E67" s="271"/>
      <c r="F67" s="271"/>
      <c r="G67" s="271"/>
      <c r="H67" s="58"/>
    </row>
    <row r="68" spans="2:11" s="57" customFormat="1" ht="14.4">
      <c r="B68" s="271" t="s">
        <v>70</v>
      </c>
      <c r="C68" s="271"/>
      <c r="D68" s="271"/>
      <c r="E68" s="271"/>
      <c r="F68" s="271"/>
      <c r="G68" s="271"/>
      <c r="H68" s="58"/>
    </row>
    <row r="69" spans="2:11" s="57" customFormat="1" ht="14.4">
      <c r="B69" s="271" t="s">
        <v>71</v>
      </c>
      <c r="C69" s="271"/>
      <c r="D69" s="271"/>
      <c r="E69" s="271"/>
      <c r="F69" s="271"/>
      <c r="G69" s="271"/>
      <c r="H69" s="58"/>
    </row>
    <row r="70" spans="2:11" s="57" customFormat="1" ht="14.4">
      <c r="B70" s="271" t="s">
        <v>72</v>
      </c>
      <c r="C70" s="271"/>
      <c r="D70" s="271"/>
      <c r="E70" s="271"/>
      <c r="F70" s="271"/>
      <c r="G70" s="271"/>
      <c r="H70" s="58"/>
    </row>
    <row r="71" spans="2:11" s="57" customFormat="1" ht="14.4">
      <c r="B71" s="271" t="s">
        <v>73</v>
      </c>
      <c r="C71" s="271"/>
      <c r="D71" s="271"/>
      <c r="E71" s="271"/>
      <c r="F71" s="271"/>
      <c r="G71" s="271"/>
      <c r="H71" s="58"/>
    </row>
    <row r="72" spans="2:11" s="57" customFormat="1" ht="14.4">
      <c r="B72" s="271" t="s">
        <v>74</v>
      </c>
      <c r="C72" s="271"/>
      <c r="D72" s="271"/>
      <c r="E72" s="271"/>
      <c r="F72" s="271"/>
      <c r="G72" s="271"/>
      <c r="H72" s="58"/>
    </row>
    <row r="73" spans="2:11" s="57" customFormat="1" ht="14.4">
      <c r="B73" s="308" t="s">
        <v>75</v>
      </c>
      <c r="C73" s="308"/>
      <c r="D73" s="308"/>
      <c r="E73" s="308"/>
      <c r="F73" s="308"/>
      <c r="G73" s="308"/>
      <c r="H73" s="58"/>
    </row>
    <row r="74" spans="2:11" s="57" customFormat="1" ht="14.4">
      <c r="B74" s="308"/>
      <c r="C74" s="308"/>
      <c r="D74" s="308"/>
      <c r="E74" s="308"/>
      <c r="F74" s="308"/>
      <c r="G74" s="308"/>
      <c r="H74" s="58"/>
    </row>
    <row r="75" spans="2:11" s="71" customFormat="1">
      <c r="B75" s="272"/>
      <c r="C75" s="272"/>
      <c r="D75" s="272"/>
      <c r="E75" s="272"/>
      <c r="F75" s="273"/>
      <c r="G75" s="272"/>
      <c r="H75" s="23"/>
      <c r="J75" s="72"/>
      <c r="K75" s="73"/>
    </row>
    <row r="76" spans="2:11">
      <c r="B76" s="271" t="s">
        <v>76</v>
      </c>
      <c r="C76" s="274"/>
      <c r="D76" s="274"/>
      <c r="E76" s="274"/>
      <c r="F76" s="275">
        <f>F56</f>
        <v>0</v>
      </c>
      <c r="G76" s="1"/>
    </row>
    <row r="77" spans="2:11">
      <c r="B77" s="271"/>
      <c r="C77" s="271"/>
      <c r="D77" s="271"/>
      <c r="E77" s="271"/>
      <c r="F77" s="273"/>
      <c r="G77" s="1"/>
    </row>
    <row r="78" spans="2:11">
      <c r="B78" s="271" t="s">
        <v>77</v>
      </c>
      <c r="C78" s="271"/>
      <c r="D78" s="271"/>
      <c r="E78" s="271"/>
      <c r="F78" s="276">
        <f>F63/2</f>
        <v>0</v>
      </c>
      <c r="G78" s="1"/>
    </row>
    <row r="79" spans="2:11">
      <c r="B79" s="271"/>
      <c r="C79" s="271"/>
      <c r="D79" s="271"/>
      <c r="E79" s="271"/>
      <c r="F79" s="273"/>
      <c r="G79" s="1"/>
    </row>
    <row r="80" spans="2:11">
      <c r="B80" s="308" t="s">
        <v>78</v>
      </c>
      <c r="C80" s="308"/>
      <c r="D80" s="308"/>
      <c r="E80" s="308"/>
      <c r="F80" s="277">
        <f>IF(F76&gt;F78,F78,F76)</f>
        <v>0</v>
      </c>
      <c r="G80" s="1"/>
    </row>
    <row r="81" spans="2:8">
      <c r="B81" s="308"/>
      <c r="C81" s="308"/>
      <c r="D81" s="308"/>
      <c r="E81" s="308"/>
      <c r="F81" s="278"/>
      <c r="G81" s="259"/>
      <c r="H81" s="24"/>
    </row>
    <row r="82" spans="2:8">
      <c r="B82" s="278"/>
      <c r="C82" s="272"/>
      <c r="D82" s="272"/>
      <c r="E82" s="272"/>
      <c r="F82" s="272"/>
      <c r="G82" s="259"/>
      <c r="H82" s="23"/>
    </row>
    <row r="83" spans="2:8">
      <c r="B83" s="278"/>
      <c r="C83" s="279" t="s">
        <v>79</v>
      </c>
      <c r="D83" s="316"/>
      <c r="E83" s="316"/>
      <c r="F83" s="316"/>
      <c r="G83" s="259"/>
    </row>
    <row r="84" spans="2:8">
      <c r="B84" s="278"/>
      <c r="C84" s="273"/>
      <c r="D84" s="278"/>
      <c r="E84" s="278"/>
      <c r="F84" s="278"/>
      <c r="G84" s="259"/>
    </row>
    <row r="85" spans="2:8">
      <c r="B85" s="278"/>
      <c r="C85" s="279" t="s">
        <v>80</v>
      </c>
      <c r="D85" s="316"/>
      <c r="E85" s="316"/>
      <c r="F85" s="316"/>
      <c r="G85" s="259"/>
    </row>
    <row r="86" spans="2:8">
      <c r="B86" s="278"/>
      <c r="C86" s="280"/>
      <c r="D86" s="278"/>
      <c r="E86" s="278"/>
      <c r="F86" s="278"/>
      <c r="G86" s="259"/>
    </row>
    <row r="87" spans="2:8">
      <c r="B87" s="278"/>
      <c r="C87" s="279" t="s">
        <v>81</v>
      </c>
      <c r="D87" s="316"/>
      <c r="E87" s="316"/>
      <c r="F87" s="316"/>
      <c r="G87" s="259"/>
    </row>
    <row r="88" spans="2:8">
      <c r="B88" s="278"/>
      <c r="C88" s="278"/>
      <c r="D88" s="278"/>
      <c r="E88" s="278"/>
      <c r="F88" s="278"/>
      <c r="G88" s="259"/>
    </row>
    <row r="89" spans="2:8">
      <c r="B89" s="26"/>
      <c r="C89" s="26"/>
      <c r="G89" s="24"/>
    </row>
    <row r="90" spans="2:8">
      <c r="G90" s="24"/>
    </row>
  </sheetData>
  <sheetProtection algorithmName="SHA-512" hashValue="g+bxhYcTIIiZt4R0+NCjJD5+C3Y8sPNS/DC95p1xNIPTe7cKwWboi6F2xR/0bx8nyJ45h/u/J8iH7oAKvciasw==" saltValue="dLn8qWca705NxoJ40sqZsw==" spinCount="100000" sheet="1" objects="1" scenarios="1"/>
  <mergeCells count="23">
    <mergeCell ref="B61:E61"/>
    <mergeCell ref="B7:C7"/>
    <mergeCell ref="B8:C8"/>
    <mergeCell ref="B66:F66"/>
    <mergeCell ref="B62:E62"/>
    <mergeCell ref="B63:E63"/>
    <mergeCell ref="B48:F48"/>
    <mergeCell ref="D87:F87"/>
    <mergeCell ref="D85:F85"/>
    <mergeCell ref="B80:E81"/>
    <mergeCell ref="B73:G74"/>
    <mergeCell ref="D83:F83"/>
    <mergeCell ref="B2:H2"/>
    <mergeCell ref="C1:G1"/>
    <mergeCell ref="B60:E60"/>
    <mergeCell ref="B32:G32"/>
    <mergeCell ref="B40:G40"/>
    <mergeCell ref="C56:E56"/>
    <mergeCell ref="B59:G59"/>
    <mergeCell ref="B20:G20"/>
    <mergeCell ref="B3:G3"/>
    <mergeCell ref="B5:G5"/>
    <mergeCell ref="B11:G11"/>
  </mergeCells>
  <pageMargins left="0.7" right="0.7" top="1.2581249999999999" bottom="0.75" header="0.3" footer="0.3"/>
  <pageSetup scale="55" orientation="portrait" horizontalDpi="1200" verticalDpi="1200" r:id="rId1"/>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2" manualBreakCount="2">
    <brk id="18" max="7" man="1"/>
    <brk id="46" max="7" man="1"/>
  </rowBreaks>
  <ignoredErrors>
    <ignoredError sqref="F63" unlockedFormula="1"/>
  </ignoredErrors>
  <drawing r:id="rId2"/>
  <extLst>
    <ext xmlns:x14="http://schemas.microsoft.com/office/spreadsheetml/2009/9/main" uri="{CCE6A557-97BC-4b89-ADB6-D9C93CAAB3DF}">
      <x14:dataValidations xmlns:xm="http://schemas.microsoft.com/office/excel/2006/main" count="1">
        <x14:dataValidation type="whole" errorStyle="warning" allowBlank="1" showInputMessage="1" showErrorMessage="1" error="Value greater than the Rule of Thumb capacity. Incentive will be capped." xr:uid="{00000000-0002-0000-0000-000000000000}">
          <x14:formula1>
            <xm:f>0</xm:f>
          </x14:formula1>
          <x14:formula2>
            <xm:f>IncentiveTweak!L14</xm:f>
          </x14:formula2>
          <xm:sqref>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10" sqref="C10"/>
    </sheetView>
  </sheetViews>
  <sheetFormatPr defaultRowHeight="14.4"/>
  <cols>
    <col min="1" max="1" width="10.88671875" bestFit="1" customWidth="1"/>
    <col min="2" max="2" width="10.109375" bestFit="1" customWidth="1"/>
    <col min="3" max="3" width="81.5546875" bestFit="1" customWidth="1"/>
  </cols>
  <sheetData>
    <row r="1" spans="1:3">
      <c r="A1" s="290" t="s">
        <v>82</v>
      </c>
      <c r="B1" s="290" t="s">
        <v>83</v>
      </c>
      <c r="C1" s="290" t="s">
        <v>84</v>
      </c>
    </row>
    <row r="2" spans="1:3" ht="14.4" customHeight="1">
      <c r="A2" s="289">
        <v>1</v>
      </c>
      <c r="B2" s="59">
        <v>45658</v>
      </c>
      <c r="C2" t="s">
        <v>85</v>
      </c>
    </row>
    <row r="3" spans="1:3">
      <c r="A3" s="289"/>
      <c r="B3" s="59"/>
    </row>
    <row r="4" spans="1:3">
      <c r="A4" s="289"/>
      <c r="B4" s="59"/>
    </row>
    <row r="5" spans="1:3">
      <c r="A5" s="289"/>
      <c r="B5" s="5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17"/>
  <sheetViews>
    <sheetView workbookViewId="0"/>
  </sheetViews>
  <sheetFormatPr defaultColWidth="9.109375" defaultRowHeight="13.2"/>
  <cols>
    <col min="1" max="1" width="34.33203125" style="1" customWidth="1"/>
    <col min="2" max="5" width="11.88671875" style="1" customWidth="1"/>
    <col min="6" max="6" width="29.6640625" style="1" customWidth="1"/>
    <col min="7" max="8" width="9.109375" style="1"/>
    <col min="9" max="9" width="12" style="1" customWidth="1"/>
    <col min="10" max="10" width="11" style="1" customWidth="1"/>
    <col min="11" max="11" width="19.33203125" style="1" customWidth="1"/>
    <col min="12" max="16384" width="9.109375" style="1"/>
  </cols>
  <sheetData>
    <row r="1" spans="1:13" ht="116.25" customHeight="1" thickBot="1">
      <c r="A1" s="12" t="s">
        <v>86</v>
      </c>
      <c r="B1" s="12" t="s">
        <v>87</v>
      </c>
      <c r="C1" s="10" t="s">
        <v>88</v>
      </c>
      <c r="D1" s="10" t="s">
        <v>89</v>
      </c>
      <c r="E1" s="27" t="s">
        <v>90</v>
      </c>
      <c r="F1" s="10" t="s">
        <v>91</v>
      </c>
      <c r="G1" s="10" t="s">
        <v>92</v>
      </c>
      <c r="H1" s="10" t="s">
        <v>93</v>
      </c>
      <c r="I1" s="10" t="s">
        <v>94</v>
      </c>
      <c r="J1" s="11" t="s">
        <v>95</v>
      </c>
      <c r="K1" s="327" t="s">
        <v>96</v>
      </c>
      <c r="L1" s="328"/>
      <c r="M1" s="329"/>
    </row>
    <row r="2" spans="1:13">
      <c r="A2" s="13" t="str">
        <f>+BackEnd!A82</f>
        <v>1/8"  Drain</v>
      </c>
      <c r="B2" s="14" t="e">
        <f>MROUND(BackEnd!L82,0.5)</f>
        <v>#REF!</v>
      </c>
      <c r="C2" s="4" t="e">
        <f>MROUND(BackEnd!M82,0.5)</f>
        <v>#REF!</v>
      </c>
      <c r="D2" s="4">
        <v>253</v>
      </c>
      <c r="E2" s="50" t="e">
        <f>IF(C2&gt;(D2/2),(D2/2),C2)</f>
        <v>#REF!</v>
      </c>
      <c r="F2" s="1" t="s">
        <v>97</v>
      </c>
      <c r="G2" s="2"/>
      <c r="H2" s="3"/>
      <c r="J2" s="5"/>
      <c r="K2" s="13"/>
      <c r="M2" s="29"/>
    </row>
    <row r="3" spans="1:13">
      <c r="A3" s="13" t="str">
        <f>+BackEnd!A83</f>
        <v>1/4"  Drain</v>
      </c>
      <c r="B3" s="14" t="e">
        <f>MROUND(BackEnd!L83,0.5)</f>
        <v>#REF!</v>
      </c>
      <c r="C3" s="4" t="e">
        <f>MROUND(BackEnd!M83,0.5)</f>
        <v>#REF!</v>
      </c>
      <c r="D3" s="4">
        <v>253</v>
      </c>
      <c r="E3" s="50" t="e">
        <f t="shared" ref="E3:E8" si="0">IF(C3&gt;(D3/2),(D3/2),C3)</f>
        <v>#REF!</v>
      </c>
      <c r="F3" s="1" t="s">
        <v>97</v>
      </c>
      <c r="G3" s="2"/>
      <c r="H3" s="3"/>
      <c r="J3" s="5"/>
      <c r="K3" s="13"/>
      <c r="M3" s="29"/>
    </row>
    <row r="4" spans="1:13">
      <c r="A4" s="13" t="str">
        <f>+BackEnd!A84</f>
        <v>3/8" Drain</v>
      </c>
      <c r="B4" s="14" t="e">
        <f>MROUND(BackEnd!L84,0.5)</f>
        <v>#REF!</v>
      </c>
      <c r="C4" s="4" t="e">
        <f>MROUND(BackEnd!M84,0.5)</f>
        <v>#REF!</v>
      </c>
      <c r="D4" s="4">
        <v>253</v>
      </c>
      <c r="E4" s="50" t="e">
        <f t="shared" si="0"/>
        <v>#REF!</v>
      </c>
      <c r="F4" s="1" t="s">
        <v>97</v>
      </c>
      <c r="G4" s="2" t="e">
        <f>+BackEnd!H84*CompAirPrescriptive!E8</f>
        <v>#REF!</v>
      </c>
      <c r="H4" s="3" t="e">
        <f>+BackEnd!J84*CompAirPrescriptive!E8</f>
        <v>#REF!</v>
      </c>
      <c r="I4" s="1">
        <f>+CompAirPrescriptive!E8</f>
        <v>0</v>
      </c>
      <c r="J4" s="5">
        <f>+CompAirPrescriptive!F8</f>
        <v>0</v>
      </c>
      <c r="K4" s="13"/>
      <c r="M4" s="29"/>
    </row>
    <row r="5" spans="1:13">
      <c r="A5" s="13" t="str">
        <f>+BackEnd!A88</f>
        <v>1/16"  Engineered Nozzle</v>
      </c>
      <c r="B5" s="14" t="e">
        <f>MROUND(BackEnd!J88,0.5)</f>
        <v>#REF!</v>
      </c>
      <c r="C5" s="4" t="e">
        <f>MROUND(BackEnd!K88,0.5)</f>
        <v>#REF!</v>
      </c>
      <c r="D5" s="4">
        <v>37.837499999999999</v>
      </c>
      <c r="E5" s="50" t="e">
        <f t="shared" si="0"/>
        <v>#REF!</v>
      </c>
      <c r="F5" s="1" t="s">
        <v>98</v>
      </c>
      <c r="G5" s="2" t="e">
        <f>+BackEnd!F88*CompAirPrescriptive!E14</f>
        <v>#REF!</v>
      </c>
      <c r="H5" s="3" t="e">
        <f>+BackEnd!H88*CompAirPrescriptive!E14</f>
        <v>#REF!</v>
      </c>
      <c r="I5" s="1">
        <f>+CompAirPrescriptive!E14</f>
        <v>0</v>
      </c>
      <c r="J5" s="5">
        <f>+CompAirPrescriptive!F14</f>
        <v>0</v>
      </c>
      <c r="K5" s="13"/>
      <c r="M5" s="29"/>
    </row>
    <row r="6" spans="1:13">
      <c r="A6" s="13" t="str">
        <f>+BackEnd!A89</f>
        <v>1/8" Engineered Nozzle</v>
      </c>
      <c r="B6" s="14" t="e">
        <f>MROUND(BackEnd!J89,0.5)</f>
        <v>#REF!</v>
      </c>
      <c r="C6" s="4" t="e">
        <f>MROUND(BackEnd!K89,0.5)</f>
        <v>#REF!</v>
      </c>
      <c r="D6" s="4">
        <v>69.749999999999986</v>
      </c>
      <c r="E6" s="50" t="e">
        <f t="shared" si="0"/>
        <v>#REF!</v>
      </c>
      <c r="F6" s="1" t="s">
        <v>98</v>
      </c>
      <c r="G6" s="2" t="e">
        <f>+BackEnd!F89*CompAirPrescriptive!E15</f>
        <v>#REF!</v>
      </c>
      <c r="H6" s="3" t="e">
        <f>+BackEnd!H89*CompAirPrescriptive!E15</f>
        <v>#REF!</v>
      </c>
      <c r="I6" s="1">
        <f>+CompAirPrescriptive!E15</f>
        <v>0</v>
      </c>
      <c r="J6" s="5">
        <f>+CompAirPrescriptive!F15</f>
        <v>0</v>
      </c>
      <c r="K6" s="13"/>
      <c r="M6" s="29"/>
    </row>
    <row r="7" spans="1:13">
      <c r="A7" s="13" t="str">
        <f>+BackEnd!A90</f>
        <v>1/4"  Engineered Nozzle</v>
      </c>
      <c r="B7" s="14" t="e">
        <f>MROUND(BackEnd!J90,0.5)</f>
        <v>#REF!</v>
      </c>
      <c r="C7" s="4" t="e">
        <f>MROUND(BackEnd!K90,0.5)</f>
        <v>#REF!</v>
      </c>
      <c r="D7" s="4">
        <v>121.51898734177215</v>
      </c>
      <c r="E7" s="50" t="e">
        <f t="shared" si="0"/>
        <v>#REF!</v>
      </c>
      <c r="F7" s="1" t="s">
        <v>98</v>
      </c>
      <c r="G7" s="2" t="e">
        <f>+BackEnd!F90*CompAirPrescriptive!E16</f>
        <v>#REF!</v>
      </c>
      <c r="H7" s="3" t="e">
        <f>+BackEnd!H90*CompAirPrescriptive!E16</f>
        <v>#REF!</v>
      </c>
      <c r="I7" s="1">
        <f>+CompAirPrescriptive!E16</f>
        <v>0</v>
      </c>
      <c r="J7" s="5">
        <f>+CompAirPrescriptive!F16</f>
        <v>0</v>
      </c>
      <c r="K7" s="13"/>
      <c r="M7" s="29"/>
    </row>
    <row r="8" spans="1:13">
      <c r="A8" s="13" t="str">
        <f>+BackEnd!A91</f>
        <v>3/8" Engineered Nozzle</v>
      </c>
      <c r="B8" s="14" t="e">
        <f>MROUND(BackEnd!J91,0.5)</f>
        <v>#REF!</v>
      </c>
      <c r="C8" s="4" t="e">
        <f>MROUND(BackEnd!K91,0.5)</f>
        <v>#REF!</v>
      </c>
      <c r="D8" s="4">
        <v>170.88607594936707</v>
      </c>
      <c r="E8" s="50" t="e">
        <f t="shared" si="0"/>
        <v>#REF!</v>
      </c>
      <c r="F8" s="1" t="s">
        <v>98</v>
      </c>
      <c r="G8" s="2" t="e">
        <f>+BackEnd!F91*CompAirPrescriptive!E17</f>
        <v>#REF!</v>
      </c>
      <c r="H8" s="3" t="e">
        <f>+BackEnd!H91*CompAirPrescriptive!E17</f>
        <v>#REF!</v>
      </c>
      <c r="I8" s="1">
        <f>+CompAirPrescriptive!E17</f>
        <v>0</v>
      </c>
      <c r="J8" s="5">
        <f>+CompAirPrescriptive!F17</f>
        <v>0</v>
      </c>
      <c r="K8" s="13"/>
      <c r="M8" s="29"/>
    </row>
    <row r="9" spans="1:13">
      <c r="A9" s="13" t="str">
        <f>+BackEnd!A98</f>
        <v>3 USG/cfm</v>
      </c>
      <c r="B9" s="14" t="e">
        <f>MROUND(BackEnd!L98,0.05)</f>
        <v>#REF!</v>
      </c>
      <c r="C9" s="4" t="e">
        <f>MROUND(BackEnd!M98,0.05)</f>
        <v>#REF!</v>
      </c>
      <c r="D9" s="4"/>
      <c r="E9" s="28">
        <v>0.9</v>
      </c>
      <c r="F9" s="1" t="s">
        <v>99</v>
      </c>
      <c r="G9" s="2" t="e">
        <f>IF(CompAirPrescriptive!#REF!=0,0,BackEnd!D98/CompAirPrescriptive!#REF!*CompAirPrescriptive!#REF!)</f>
        <v>#REF!</v>
      </c>
      <c r="H9" s="3" t="e">
        <f>IF(CompAirPrescriptive!#REF!=0,0,BackEnd!J98/CompAirPrescriptive!#REF!*CompAirPrescriptive!#REF!)</f>
        <v>#REF!</v>
      </c>
      <c r="I9" s="1" t="e">
        <f>+CompAirPrescriptive!#REF!</f>
        <v>#REF!</v>
      </c>
      <c r="J9" s="5" t="e">
        <f>+CompAirPrescriptive!#REF!</f>
        <v>#REF!</v>
      </c>
      <c r="K9" s="30" t="e">
        <f>IF(CompAirPrescriptive!#REF!&gt;CompAirPrescriptive!#REF!,"Exceeds Allowable Size","")</f>
        <v>#REF!</v>
      </c>
      <c r="L9" s="1" t="e">
        <f>IF(I9&gt;0,1,0)</f>
        <v>#REF!</v>
      </c>
      <c r="M9" s="29"/>
    </row>
    <row r="10" spans="1:13">
      <c r="A10" s="13" t="str">
        <f>+BackEnd!A99</f>
        <v>5 USG/cfm</v>
      </c>
      <c r="B10" s="14" t="e">
        <f>MROUND(BackEnd!L99,0.05)</f>
        <v>#REF!</v>
      </c>
      <c r="C10" s="4" t="e">
        <f>MROUND(BackEnd!M99,0.05)</f>
        <v>#REF!</v>
      </c>
      <c r="D10" s="4"/>
      <c r="E10" s="28">
        <v>1.1000000000000001</v>
      </c>
      <c r="F10" s="1" t="s">
        <v>99</v>
      </c>
      <c r="G10" s="2" t="e">
        <f>IF(CompAirPrescriptive!#REF!=0,0,BackEnd!D99/CompAirPrescriptive!#REF!*CompAirPrescriptive!#REF!)</f>
        <v>#REF!</v>
      </c>
      <c r="H10" s="3" t="e">
        <f>IF(CompAirPrescriptive!#REF!=0,0,BackEnd!J99/CompAirPrescriptive!#REF!*CompAirPrescriptive!#REF!)</f>
        <v>#REF!</v>
      </c>
      <c r="I10" s="1" t="e">
        <f>+CompAirPrescriptive!#REF!</f>
        <v>#REF!</v>
      </c>
      <c r="J10" s="5" t="e">
        <f>+CompAirPrescriptive!#REF!</f>
        <v>#REF!</v>
      </c>
      <c r="K10" s="30" t="e">
        <f>IF(CompAirPrescriptive!#REF!&gt;CompAirPrescriptive!#REF!,"Exceeds Allowable Size","")</f>
        <v>#REF!</v>
      </c>
      <c r="L10" s="1" t="e">
        <f t="shared" ref="L10:L11" si="1">IF(I10&gt;0,1,0)</f>
        <v>#REF!</v>
      </c>
      <c r="M10" s="29"/>
    </row>
    <row r="11" spans="1:13">
      <c r="A11" s="13" t="str">
        <f>+BackEnd!A100</f>
        <v>10 USG/cfm</v>
      </c>
      <c r="B11" s="14" t="e">
        <f>MROUND(BackEnd!L100,0.05)</f>
        <v>#REF!</v>
      </c>
      <c r="C11" s="4" t="e">
        <f>MROUND(BackEnd!M100,0.05)</f>
        <v>#REF!</v>
      </c>
      <c r="D11" s="4"/>
      <c r="E11" s="28">
        <v>0.65</v>
      </c>
      <c r="F11" s="1" t="s">
        <v>99</v>
      </c>
      <c r="G11" s="2" t="e">
        <f>IF(CompAirPrescriptive!#REF!=0,0,BackEnd!D100/CompAirPrescriptive!#REF!*CompAirPrescriptive!#REF!)</f>
        <v>#REF!</v>
      </c>
      <c r="H11" s="3" t="e">
        <f>IF(CompAirPrescriptive!#REF!=0,0,BackEnd!J100/CompAirPrescriptive!#REF!*CompAirPrescriptive!#REF!)</f>
        <v>#REF!</v>
      </c>
      <c r="I11" s="1" t="e">
        <f>+CompAirPrescriptive!#REF!</f>
        <v>#REF!</v>
      </c>
      <c r="J11" s="5" t="e">
        <f>+CompAirPrescriptive!#REF!</f>
        <v>#REF!</v>
      </c>
      <c r="K11" s="30" t="e">
        <f>IF(CompAirPrescriptive!#REF!&gt;CompAirPrescriptive!#REF!,"Exceeds Allowable Size","")</f>
        <v>#REF!</v>
      </c>
      <c r="L11" s="1" t="e">
        <f t="shared" si="1"/>
        <v>#REF!</v>
      </c>
      <c r="M11" s="29" t="e">
        <f>IF(L9+L10+L11&gt;1,"Error: Please enter ONE Choice from either 3, 5 or 10 USG/cfm", "")</f>
        <v>#REF!</v>
      </c>
    </row>
    <row r="12" spans="1:13">
      <c r="A12" s="13" t="str">
        <f>+BackEnd!A107</f>
        <v>Cycling Dyer</v>
      </c>
      <c r="B12" s="14" t="e">
        <f>MROUND(BackEnd!H107,0.05)</f>
        <v>#REF!</v>
      </c>
      <c r="C12" s="4" t="e">
        <f>MROUND(BackEnd!I107,0.05)</f>
        <v>#REF!</v>
      </c>
      <c r="D12" s="4"/>
      <c r="E12" s="28">
        <v>1.75</v>
      </c>
      <c r="F12" s="1" t="s">
        <v>100</v>
      </c>
      <c r="G12" s="2" t="e">
        <f>+BackEnd!D107/CompAirPrescriptive!#REF!*CompAirPrescriptive!#REF!</f>
        <v>#REF!</v>
      </c>
      <c r="H12" s="3" t="e">
        <f>+BackEnd!F107/CompAirPrescriptive!#REF!*CompAirPrescriptive!#REF!</f>
        <v>#REF!</v>
      </c>
      <c r="I12" s="1" t="e">
        <f>+CompAirPrescriptive!#REF!</f>
        <v>#REF!</v>
      </c>
      <c r="J12" s="5" t="e">
        <f>+CompAirPrescriptive!#REF!</f>
        <v>#REF!</v>
      </c>
      <c r="K12" s="30" t="e">
        <f>IF(I12&gt;L12,"Greater than Rule of Thumb Capacity","")</f>
        <v>#REF!</v>
      </c>
      <c r="L12" s="31" t="e">
        <f>+CompAirPrescriptive!#REF!</f>
        <v>#REF!</v>
      </c>
      <c r="M12" s="29"/>
    </row>
    <row r="13" spans="1:13">
      <c r="A13" s="13" t="str">
        <f>+BackEnd!A115</f>
        <v xml:space="preserve">Dewpoint Dependent </v>
      </c>
      <c r="B13" s="14" t="e">
        <f>MROUND(BackEnd!I115,0.05)</f>
        <v>#REF!</v>
      </c>
      <c r="C13" s="4" t="e">
        <f>MROUND(BackEnd!J115,0.05)</f>
        <v>#REF!</v>
      </c>
      <c r="D13" s="4"/>
      <c r="E13" s="28">
        <v>2.85</v>
      </c>
      <c r="F13" s="1" t="s">
        <v>100</v>
      </c>
      <c r="G13" s="2" t="e">
        <f>+BackEnd!E115/CompAirPrescriptive!#REF!*CompAirPrescriptive!#REF!</f>
        <v>#REF!</v>
      </c>
      <c r="H13" s="3" t="e">
        <f>+BackEnd!G115/CompAirPrescriptive!#REF!*CompAirPrescriptive!#REF!</f>
        <v>#REF!</v>
      </c>
      <c r="I13" s="1" t="e">
        <f>+CompAirPrescriptive!#REF!</f>
        <v>#REF!</v>
      </c>
      <c r="J13" s="5" t="e">
        <f>+CompAirPrescriptive!#REF!</f>
        <v>#REF!</v>
      </c>
      <c r="K13" s="30" t="e">
        <f>IF(I13&gt;L13,"Greater than Rule of Thumb Capacity","")</f>
        <v>#REF!</v>
      </c>
      <c r="L13" s="31" t="e">
        <f>+CompAirPrescriptive!#REF!</f>
        <v>#REF!</v>
      </c>
      <c r="M13" s="29"/>
    </row>
    <row r="14" spans="1:13" ht="13.8" thickBot="1">
      <c r="A14" s="6"/>
      <c r="B14" s="6"/>
      <c r="C14" s="7"/>
      <c r="D14" s="7"/>
      <c r="E14" s="15"/>
      <c r="F14" s="8" t="s">
        <v>101</v>
      </c>
      <c r="G14" s="33" t="e">
        <f>SUM(G2:G13)</f>
        <v>#REF!</v>
      </c>
      <c r="H14" s="34" t="e">
        <f>SUM(H2:H13)</f>
        <v>#REF!</v>
      </c>
      <c r="I14" s="8"/>
      <c r="J14" s="9" t="e">
        <f>SUM(J2:J13)</f>
        <v>#REF!</v>
      </c>
      <c r="K14" s="6"/>
      <c r="L14" s="7"/>
      <c r="M14" s="32"/>
    </row>
    <row r="15" spans="1:13">
      <c r="F15" s="2"/>
      <c r="G15" s="3"/>
    </row>
    <row r="16" spans="1:13">
      <c r="C16" s="4"/>
      <c r="E16" s="53"/>
    </row>
    <row r="17" spans="3:5">
      <c r="C17" s="4"/>
      <c r="E17" s="53"/>
    </row>
  </sheetData>
  <mergeCells count="1">
    <mergeCell ref="K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314"/>
  <sheetViews>
    <sheetView zoomScale="70" zoomScaleNormal="70" workbookViewId="0">
      <selection activeCell="P86" sqref="P86"/>
    </sheetView>
  </sheetViews>
  <sheetFormatPr defaultColWidth="9.109375" defaultRowHeight="14.4"/>
  <cols>
    <col min="1" max="1" width="22.33203125" style="18" customWidth="1"/>
    <col min="2" max="2" width="11.44140625" style="18" customWidth="1"/>
    <col min="3" max="3" width="14.109375" style="18" customWidth="1"/>
    <col min="4" max="4" width="13" style="18" customWidth="1"/>
    <col min="5" max="5" width="12.88671875" style="18" customWidth="1"/>
    <col min="6" max="6" width="11.44140625" style="18" customWidth="1"/>
    <col min="7" max="7" width="16" style="18" customWidth="1"/>
    <col min="8" max="8" width="18.109375" style="18" customWidth="1"/>
    <col min="9" max="9" width="15.44140625" style="18" customWidth="1"/>
    <col min="10" max="10" width="12.44140625" style="18" customWidth="1"/>
    <col min="11" max="11" width="11.44140625" style="18" customWidth="1"/>
    <col min="12" max="12" width="12.33203125" style="18" customWidth="1"/>
    <col min="13" max="13" width="42.44140625" style="18" customWidth="1"/>
    <col min="14" max="17" width="11.44140625" style="18" customWidth="1"/>
    <col min="18" max="18" width="9.109375" style="18"/>
    <col min="19" max="33" width="9" style="18" customWidth="1"/>
    <col min="34" max="34" width="12.44140625" style="18" customWidth="1"/>
    <col min="35" max="57" width="9" style="18" customWidth="1"/>
    <col min="58" max="16384" width="9.109375" style="18"/>
  </cols>
  <sheetData>
    <row r="2" spans="1:13">
      <c r="A2" s="18" t="e">
        <f>+CompAirPrescriptive!#REF!</f>
        <v>#REF!</v>
      </c>
      <c r="B2" s="18" t="s">
        <v>102</v>
      </c>
      <c r="M2" s="18" t="s">
        <v>103</v>
      </c>
    </row>
    <row r="3" spans="1:13">
      <c r="A3" s="18" t="e">
        <f>+CompAirPrescriptive!#REF!</f>
        <v>#REF!</v>
      </c>
      <c r="B3" s="18" t="s">
        <v>104</v>
      </c>
      <c r="M3" s="18" t="s">
        <v>105</v>
      </c>
    </row>
    <row r="4" spans="1:13">
      <c r="A4" s="18">
        <v>575</v>
      </c>
      <c r="B4" s="18" t="s">
        <v>106</v>
      </c>
    </row>
    <row r="5" spans="1:13">
      <c r="A5" s="17">
        <v>0.85</v>
      </c>
      <c r="B5" s="18" t="s">
        <v>107</v>
      </c>
    </row>
    <row r="6" spans="1:13">
      <c r="A6" s="16" t="e">
        <f>+A2*A4*A5*SQRT(3)/1000</f>
        <v>#REF!</v>
      </c>
      <c r="B6" s="18" t="s">
        <v>108</v>
      </c>
    </row>
    <row r="7" spans="1:13">
      <c r="A7" s="18">
        <v>4.5</v>
      </c>
      <c r="M7" s="18" t="s">
        <v>109</v>
      </c>
    </row>
    <row r="8" spans="1:13">
      <c r="A8" s="18" t="e">
        <f>+A2*A7</f>
        <v>#REF!</v>
      </c>
      <c r="B8" s="18" t="s">
        <v>110</v>
      </c>
      <c r="M8" s="18" t="s">
        <v>111</v>
      </c>
    </row>
    <row r="9" spans="1:13">
      <c r="A9" s="18">
        <v>16</v>
      </c>
      <c r="B9" s="18" t="s">
        <v>112</v>
      </c>
      <c r="M9" s="18" t="s">
        <v>113</v>
      </c>
    </row>
    <row r="10" spans="1:13">
      <c r="A10" s="18">
        <v>5</v>
      </c>
      <c r="B10" s="18" t="s">
        <v>114</v>
      </c>
      <c r="M10" s="18" t="s">
        <v>115</v>
      </c>
    </row>
    <row r="11" spans="1:13">
      <c r="A11" s="18">
        <v>49</v>
      </c>
      <c r="B11" s="18" t="s">
        <v>116</v>
      </c>
      <c r="M11" s="18" t="s">
        <v>117</v>
      </c>
    </row>
    <row r="12" spans="1:13">
      <c r="A12" s="48">
        <v>3920</v>
      </c>
      <c r="B12" s="18" t="s">
        <v>112</v>
      </c>
      <c r="C12" s="49" t="s">
        <v>118</v>
      </c>
      <c r="M12" s="18" t="s">
        <v>119</v>
      </c>
    </row>
    <row r="13" spans="1:13">
      <c r="A13" s="35" t="e">
        <f>IF(A8=0,18.8,A6/A8*100)</f>
        <v>#REF!</v>
      </c>
      <c r="B13" s="18" t="s">
        <v>120</v>
      </c>
      <c r="M13" s="18" t="s">
        <v>121</v>
      </c>
    </row>
    <row r="14" spans="1:13">
      <c r="A14" s="36">
        <v>0.1</v>
      </c>
      <c r="B14" s="18" t="s">
        <v>122</v>
      </c>
    </row>
    <row r="15" spans="1:13">
      <c r="A15" s="20" t="e">
        <f>+A13*(1+A14)</f>
        <v>#REF!</v>
      </c>
    </row>
    <row r="17" spans="1:15">
      <c r="A17" s="84" t="s">
        <v>123</v>
      </c>
      <c r="B17" s="120">
        <v>0</v>
      </c>
      <c r="C17" s="120">
        <v>0.1</v>
      </c>
      <c r="D17" s="120">
        <v>0.2</v>
      </c>
      <c r="E17" s="120">
        <v>0.3</v>
      </c>
      <c r="F17" s="120">
        <v>0.4</v>
      </c>
      <c r="G17" s="120">
        <v>0.5</v>
      </c>
      <c r="H17" s="120">
        <v>0.6</v>
      </c>
      <c r="I17" s="120">
        <v>0.7</v>
      </c>
      <c r="J17" s="120">
        <v>0.8</v>
      </c>
      <c r="K17" s="120">
        <v>0.9</v>
      </c>
      <c r="L17" s="120">
        <v>1</v>
      </c>
      <c r="M17" s="81" t="s">
        <v>124</v>
      </c>
    </row>
    <row r="18" spans="1:15">
      <c r="A18" s="85" t="s">
        <v>125</v>
      </c>
      <c r="B18" s="121">
        <v>0.27</v>
      </c>
      <c r="C18" s="121">
        <v>0.32</v>
      </c>
      <c r="D18" s="121">
        <v>0.63</v>
      </c>
      <c r="E18" s="121">
        <v>0.74</v>
      </c>
      <c r="F18" s="121">
        <v>0.81</v>
      </c>
      <c r="G18" s="121">
        <v>0.87</v>
      </c>
      <c r="H18" s="121">
        <v>0.92</v>
      </c>
      <c r="I18" s="121">
        <v>0.95</v>
      </c>
      <c r="J18" s="121">
        <v>0.98</v>
      </c>
      <c r="K18" s="121">
        <v>1</v>
      </c>
      <c r="L18" s="121">
        <v>1</v>
      </c>
      <c r="M18" s="82" t="s">
        <v>126</v>
      </c>
    </row>
    <row r="19" spans="1:15">
      <c r="A19" s="85" t="s">
        <v>127</v>
      </c>
      <c r="B19" s="121">
        <v>0.27</v>
      </c>
      <c r="C19" s="121">
        <v>0.33</v>
      </c>
      <c r="D19" s="121">
        <v>0.61</v>
      </c>
      <c r="E19" s="121">
        <v>0.72</v>
      </c>
      <c r="F19" s="121">
        <v>0.79</v>
      </c>
      <c r="G19" s="121">
        <v>0.85</v>
      </c>
      <c r="H19" s="121">
        <v>0.9</v>
      </c>
      <c r="I19" s="121">
        <v>0.94</v>
      </c>
      <c r="J19" s="121">
        <v>0.97</v>
      </c>
      <c r="K19" s="121">
        <v>1</v>
      </c>
      <c r="L19" s="121">
        <v>1</v>
      </c>
      <c r="M19" s="82" t="s">
        <v>126</v>
      </c>
    </row>
    <row r="20" spans="1:15">
      <c r="A20" s="85" t="s">
        <v>128</v>
      </c>
      <c r="B20" s="121">
        <v>0.27</v>
      </c>
      <c r="C20" s="121">
        <v>0.34</v>
      </c>
      <c r="D20" s="121">
        <v>0.54</v>
      </c>
      <c r="E20" s="121">
        <v>0.64</v>
      </c>
      <c r="F20" s="121">
        <v>0.73</v>
      </c>
      <c r="G20" s="121">
        <v>0.79</v>
      </c>
      <c r="H20" s="121">
        <v>0.85</v>
      </c>
      <c r="I20" s="121">
        <v>0.9</v>
      </c>
      <c r="J20" s="121">
        <v>0.94</v>
      </c>
      <c r="K20" s="121">
        <v>0.98</v>
      </c>
      <c r="L20" s="121">
        <v>1</v>
      </c>
      <c r="M20" s="82" t="s">
        <v>126</v>
      </c>
    </row>
    <row r="21" spans="1:15">
      <c r="A21" s="85" t="s">
        <v>129</v>
      </c>
      <c r="B21" s="121">
        <v>0.27</v>
      </c>
      <c r="C21" s="121">
        <v>0.34</v>
      </c>
      <c r="D21" s="121">
        <v>0.45</v>
      </c>
      <c r="E21" s="121">
        <v>0.55000000000000004</v>
      </c>
      <c r="F21" s="121">
        <v>0.64</v>
      </c>
      <c r="G21" s="121">
        <v>0.71</v>
      </c>
      <c r="H21" s="121">
        <v>0.78</v>
      </c>
      <c r="I21" s="121">
        <v>0.85</v>
      </c>
      <c r="J21" s="121">
        <v>0.91</v>
      </c>
      <c r="K21" s="121">
        <v>0.97</v>
      </c>
      <c r="L21" s="121">
        <v>1</v>
      </c>
      <c r="M21" s="82" t="s">
        <v>126</v>
      </c>
    </row>
    <row r="22" spans="1:15">
      <c r="A22" s="86" t="s">
        <v>130</v>
      </c>
      <c r="B22" s="117">
        <v>0.27</v>
      </c>
      <c r="C22" s="117">
        <v>0.34</v>
      </c>
      <c r="D22" s="117">
        <v>0.42</v>
      </c>
      <c r="E22" s="117">
        <v>0.52</v>
      </c>
      <c r="F22" s="117">
        <v>0.6</v>
      </c>
      <c r="G22" s="117">
        <v>0.68</v>
      </c>
      <c r="H22" s="117">
        <v>0.76</v>
      </c>
      <c r="I22" s="117">
        <v>0.83</v>
      </c>
      <c r="J22" s="117">
        <v>0.89</v>
      </c>
      <c r="K22" s="117">
        <v>0.96</v>
      </c>
      <c r="L22" s="117">
        <v>1</v>
      </c>
      <c r="M22" s="83" t="s">
        <v>126</v>
      </c>
    </row>
    <row r="24" spans="1:15" ht="57.75" customHeight="1">
      <c r="A24" s="332" t="s">
        <v>123</v>
      </c>
      <c r="B24" s="334"/>
      <c r="C24" s="94" t="s">
        <v>131</v>
      </c>
      <c r="D24" s="94" t="s">
        <v>132</v>
      </c>
      <c r="E24" s="94" t="s">
        <v>133</v>
      </c>
      <c r="F24" s="94" t="s">
        <v>134</v>
      </c>
      <c r="G24" s="94" t="s">
        <v>135</v>
      </c>
      <c r="H24" s="94" t="s">
        <v>136</v>
      </c>
      <c r="I24" s="94" t="s">
        <v>137</v>
      </c>
      <c r="J24" s="94" t="s">
        <v>138</v>
      </c>
      <c r="K24" s="94" t="s">
        <v>139</v>
      </c>
      <c r="L24" s="94" t="s">
        <v>140</v>
      </c>
      <c r="M24" s="332" t="s">
        <v>141</v>
      </c>
      <c r="N24" s="333"/>
      <c r="O24" s="334"/>
    </row>
    <row r="25" spans="1:15">
      <c r="A25" s="342" t="s">
        <v>125</v>
      </c>
      <c r="B25" s="339"/>
      <c r="C25" s="118">
        <f t="shared" ref="C25:L25" si="0">AVERAGE(B18:C18)</f>
        <v>0.29500000000000004</v>
      </c>
      <c r="D25" s="118">
        <f t="shared" si="0"/>
        <v>0.47499999999999998</v>
      </c>
      <c r="E25" s="118">
        <f t="shared" si="0"/>
        <v>0.68500000000000005</v>
      </c>
      <c r="F25" s="118">
        <f t="shared" si="0"/>
        <v>0.77500000000000002</v>
      </c>
      <c r="G25" s="118">
        <f t="shared" si="0"/>
        <v>0.84000000000000008</v>
      </c>
      <c r="H25" s="118">
        <f t="shared" si="0"/>
        <v>0.89500000000000002</v>
      </c>
      <c r="I25" s="118">
        <f t="shared" si="0"/>
        <v>0.93500000000000005</v>
      </c>
      <c r="J25" s="118">
        <f t="shared" si="0"/>
        <v>0.96499999999999997</v>
      </c>
      <c r="K25" s="118">
        <f t="shared" si="0"/>
        <v>0.99</v>
      </c>
      <c r="L25" s="118">
        <f t="shared" si="0"/>
        <v>1</v>
      </c>
      <c r="M25" s="341" t="s">
        <v>142</v>
      </c>
      <c r="N25" s="336"/>
      <c r="O25" s="336"/>
    </row>
    <row r="26" spans="1:15">
      <c r="A26" s="342" t="s">
        <v>127</v>
      </c>
      <c r="B26" s="339"/>
      <c r="C26" s="118">
        <f t="shared" ref="C26:L26" si="1">AVERAGE(B19:C19)</f>
        <v>0.30000000000000004</v>
      </c>
      <c r="D26" s="118">
        <f t="shared" si="1"/>
        <v>0.47</v>
      </c>
      <c r="E26" s="118">
        <f t="shared" si="1"/>
        <v>0.66500000000000004</v>
      </c>
      <c r="F26" s="118">
        <f t="shared" si="1"/>
        <v>0.755</v>
      </c>
      <c r="G26" s="118">
        <f t="shared" si="1"/>
        <v>0.82000000000000006</v>
      </c>
      <c r="H26" s="118">
        <f t="shared" si="1"/>
        <v>0.875</v>
      </c>
      <c r="I26" s="118">
        <f t="shared" si="1"/>
        <v>0.91999999999999993</v>
      </c>
      <c r="J26" s="118">
        <f t="shared" si="1"/>
        <v>0.95499999999999996</v>
      </c>
      <c r="K26" s="118">
        <f t="shared" si="1"/>
        <v>0.98499999999999999</v>
      </c>
      <c r="L26" s="118">
        <f t="shared" si="1"/>
        <v>1</v>
      </c>
      <c r="M26" s="338" t="s">
        <v>142</v>
      </c>
      <c r="N26" s="339"/>
      <c r="O26" s="339"/>
    </row>
    <row r="27" spans="1:15">
      <c r="A27" s="342" t="s">
        <v>128</v>
      </c>
      <c r="B27" s="339"/>
      <c r="C27" s="118">
        <f t="shared" ref="C27:L27" si="2">AVERAGE(B20:C20)</f>
        <v>0.30500000000000005</v>
      </c>
      <c r="D27" s="118">
        <f t="shared" si="2"/>
        <v>0.44000000000000006</v>
      </c>
      <c r="E27" s="118">
        <f t="shared" si="2"/>
        <v>0.59000000000000008</v>
      </c>
      <c r="F27" s="118">
        <f t="shared" si="2"/>
        <v>0.68500000000000005</v>
      </c>
      <c r="G27" s="118">
        <f t="shared" si="2"/>
        <v>0.76</v>
      </c>
      <c r="H27" s="118">
        <f t="shared" si="2"/>
        <v>0.82000000000000006</v>
      </c>
      <c r="I27" s="118">
        <f t="shared" si="2"/>
        <v>0.875</v>
      </c>
      <c r="J27" s="118">
        <f t="shared" si="2"/>
        <v>0.91999999999999993</v>
      </c>
      <c r="K27" s="118">
        <f t="shared" si="2"/>
        <v>0.96</v>
      </c>
      <c r="L27" s="118">
        <f t="shared" si="2"/>
        <v>0.99</v>
      </c>
      <c r="M27" s="338" t="s">
        <v>142</v>
      </c>
      <c r="N27" s="339"/>
      <c r="O27" s="339"/>
    </row>
    <row r="28" spans="1:15">
      <c r="A28" s="342" t="s">
        <v>129</v>
      </c>
      <c r="B28" s="339"/>
      <c r="C28" s="118">
        <f t="shared" ref="C28:L28" si="3">AVERAGE(B21:C21)</f>
        <v>0.30500000000000005</v>
      </c>
      <c r="D28" s="118">
        <f t="shared" si="3"/>
        <v>0.39500000000000002</v>
      </c>
      <c r="E28" s="118">
        <f t="shared" si="3"/>
        <v>0.5</v>
      </c>
      <c r="F28" s="118">
        <f t="shared" si="3"/>
        <v>0.59499999999999997</v>
      </c>
      <c r="G28" s="118">
        <f t="shared" si="3"/>
        <v>0.67500000000000004</v>
      </c>
      <c r="H28" s="118">
        <f t="shared" si="3"/>
        <v>0.745</v>
      </c>
      <c r="I28" s="118">
        <f t="shared" si="3"/>
        <v>0.81499999999999995</v>
      </c>
      <c r="J28" s="118">
        <f t="shared" si="3"/>
        <v>0.88</v>
      </c>
      <c r="K28" s="118">
        <f t="shared" si="3"/>
        <v>0.94</v>
      </c>
      <c r="L28" s="118">
        <f t="shared" si="3"/>
        <v>0.98499999999999999</v>
      </c>
      <c r="M28" s="338" t="s">
        <v>142</v>
      </c>
      <c r="N28" s="339"/>
      <c r="O28" s="339"/>
    </row>
    <row r="29" spans="1:15">
      <c r="A29" s="330" t="s">
        <v>130</v>
      </c>
      <c r="B29" s="331"/>
      <c r="C29" s="119">
        <f t="shared" ref="C29:L29" si="4">AVERAGE(B22:C22)</f>
        <v>0.30500000000000005</v>
      </c>
      <c r="D29" s="119">
        <f t="shared" si="4"/>
        <v>0.38</v>
      </c>
      <c r="E29" s="119">
        <f t="shared" si="4"/>
        <v>0.47</v>
      </c>
      <c r="F29" s="119">
        <f t="shared" si="4"/>
        <v>0.56000000000000005</v>
      </c>
      <c r="G29" s="119">
        <f t="shared" si="4"/>
        <v>0.64</v>
      </c>
      <c r="H29" s="119">
        <f t="shared" si="4"/>
        <v>0.72</v>
      </c>
      <c r="I29" s="119">
        <f t="shared" si="4"/>
        <v>0.79499999999999993</v>
      </c>
      <c r="J29" s="119">
        <f t="shared" si="4"/>
        <v>0.86</v>
      </c>
      <c r="K29" s="119">
        <f t="shared" si="4"/>
        <v>0.92500000000000004</v>
      </c>
      <c r="L29" s="119">
        <f t="shared" si="4"/>
        <v>0.98</v>
      </c>
      <c r="M29" s="330" t="s">
        <v>142</v>
      </c>
      <c r="N29" s="337"/>
      <c r="O29" s="331"/>
    </row>
    <row r="31" spans="1:15">
      <c r="A31" s="332" t="s">
        <v>143</v>
      </c>
      <c r="B31" s="334"/>
      <c r="C31" s="94" t="s">
        <v>131</v>
      </c>
      <c r="D31" s="94" t="s">
        <v>132</v>
      </c>
      <c r="E31" s="94" t="s">
        <v>133</v>
      </c>
      <c r="F31" s="94" t="s">
        <v>134</v>
      </c>
      <c r="G31" s="94" t="s">
        <v>135</v>
      </c>
      <c r="H31" s="94" t="s">
        <v>136</v>
      </c>
      <c r="I31" s="94" t="s">
        <v>137</v>
      </c>
      <c r="J31" s="94" t="s">
        <v>138</v>
      </c>
      <c r="K31" s="94" t="s">
        <v>139</v>
      </c>
      <c r="L31" s="94" t="s">
        <v>140</v>
      </c>
      <c r="M31" s="332"/>
      <c r="N31" s="334"/>
    </row>
    <row r="32" spans="1:15">
      <c r="A32" s="335" t="s">
        <v>144</v>
      </c>
      <c r="B32" s="336"/>
      <c r="C32" s="100">
        <v>0.27721184229864787</v>
      </c>
      <c r="D32" s="100">
        <v>1.4358006319811881E-2</v>
      </c>
      <c r="E32" s="100">
        <v>2.6018794091710769E-2</v>
      </c>
      <c r="F32" s="100">
        <v>3.4577270723104056E-2</v>
      </c>
      <c r="G32" s="100">
        <v>2.5902318489124061E-2</v>
      </c>
      <c r="H32" s="100">
        <v>6.2209637713109958E-2</v>
      </c>
      <c r="I32" s="100">
        <v>4.7776308054085823E-2</v>
      </c>
      <c r="J32" s="100">
        <v>4.588321208112877E-2</v>
      </c>
      <c r="K32" s="100">
        <v>0.11577004335684893</v>
      </c>
      <c r="L32" s="100">
        <v>0.35029256687242799</v>
      </c>
      <c r="M32" s="338" t="s">
        <v>145</v>
      </c>
      <c r="N32" s="339"/>
    </row>
    <row r="33" spans="1:21">
      <c r="A33" s="330" t="s">
        <v>126</v>
      </c>
      <c r="B33" s="331"/>
      <c r="C33" s="117">
        <v>0</v>
      </c>
      <c r="D33" s="117">
        <v>0.15</v>
      </c>
      <c r="E33" s="117">
        <v>0.25</v>
      </c>
      <c r="F33" s="117">
        <v>0.35</v>
      </c>
      <c r="G33" s="117">
        <v>0.45</v>
      </c>
      <c r="H33" s="117">
        <v>0.55000000000000004</v>
      </c>
      <c r="I33" s="117">
        <v>0.65</v>
      </c>
      <c r="J33" s="117">
        <v>0.75</v>
      </c>
      <c r="K33" s="117">
        <v>0.85</v>
      </c>
      <c r="L33" s="117">
        <v>0.95</v>
      </c>
      <c r="M33" s="330"/>
      <c r="N33" s="331"/>
    </row>
    <row r="34" spans="1:21">
      <c r="L34" s="76">
        <f>SUMPRODUCT(C32:L32,C33:L33)</f>
        <v>0.56328127296443276</v>
      </c>
      <c r="M34" s="18" t="s">
        <v>146</v>
      </c>
    </row>
    <row r="35" spans="1:21">
      <c r="L35" s="76"/>
    </row>
    <row r="36" spans="1:21">
      <c r="A36" s="84" t="s">
        <v>143</v>
      </c>
      <c r="B36" s="94" t="s">
        <v>131</v>
      </c>
      <c r="C36" s="94" t="s">
        <v>132</v>
      </c>
      <c r="D36" s="94" t="s">
        <v>133</v>
      </c>
      <c r="E36" s="94" t="s">
        <v>134</v>
      </c>
      <c r="F36" s="94" t="s">
        <v>135</v>
      </c>
      <c r="G36" s="94" t="s">
        <v>136</v>
      </c>
      <c r="H36" s="94" t="s">
        <v>137</v>
      </c>
      <c r="I36" s="94" t="s">
        <v>138</v>
      </c>
      <c r="J36" s="94" t="s">
        <v>139</v>
      </c>
      <c r="K36" s="94" t="s">
        <v>140</v>
      </c>
      <c r="L36" s="99" t="s">
        <v>147</v>
      </c>
      <c r="M36" s="84"/>
    </row>
    <row r="37" spans="1:21">
      <c r="A37" s="85" t="s">
        <v>125</v>
      </c>
      <c r="B37" s="100">
        <f t="shared" ref="B37:K37" si="5">+C25*C$32</f>
        <v>8.1777493478101135E-2</v>
      </c>
      <c r="C37" s="100">
        <f t="shared" si="5"/>
        <v>6.8200530019106431E-3</v>
      </c>
      <c r="D37" s="100">
        <f t="shared" si="5"/>
        <v>1.7822873952821876E-2</v>
      </c>
      <c r="E37" s="100">
        <f t="shared" si="5"/>
        <v>2.6797384810405646E-2</v>
      </c>
      <c r="F37" s="100">
        <f t="shared" si="5"/>
        <v>2.1757947530864213E-2</v>
      </c>
      <c r="G37" s="100">
        <f t="shared" si="5"/>
        <v>5.5677625753233415E-2</v>
      </c>
      <c r="H37" s="100">
        <f t="shared" si="5"/>
        <v>4.4670848030570247E-2</v>
      </c>
      <c r="I37" s="100">
        <f t="shared" si="5"/>
        <v>4.4277299658289263E-2</v>
      </c>
      <c r="J37" s="100">
        <f t="shared" si="5"/>
        <v>0.11461234292328044</v>
      </c>
      <c r="K37" s="100">
        <f t="shared" si="5"/>
        <v>0.35029256687242799</v>
      </c>
      <c r="L37" s="101">
        <f>SUM(B37:K37)</f>
        <v>0.76450643601190493</v>
      </c>
      <c r="M37" s="85" t="s">
        <v>148</v>
      </c>
    </row>
    <row r="38" spans="1:21">
      <c r="A38" s="85" t="s">
        <v>127</v>
      </c>
      <c r="B38" s="100">
        <f t="shared" ref="B38:K38" si="6">+C26*C$32</f>
        <v>8.3163552689594369E-2</v>
      </c>
      <c r="C38" s="100">
        <f t="shared" si="6"/>
        <v>6.7482629703115842E-3</v>
      </c>
      <c r="D38" s="100">
        <f t="shared" si="6"/>
        <v>1.7302498070987663E-2</v>
      </c>
      <c r="E38" s="100">
        <f t="shared" si="6"/>
        <v>2.6105839395943561E-2</v>
      </c>
      <c r="F38" s="100">
        <f t="shared" si="6"/>
        <v>2.1239901161081733E-2</v>
      </c>
      <c r="G38" s="100">
        <f t="shared" si="6"/>
        <v>5.4433432998971215E-2</v>
      </c>
      <c r="H38" s="100">
        <f t="shared" si="6"/>
        <v>4.3954203409758953E-2</v>
      </c>
      <c r="I38" s="100">
        <f t="shared" si="6"/>
        <v>4.3818467537477972E-2</v>
      </c>
      <c r="J38" s="100">
        <f t="shared" si="6"/>
        <v>0.1140334927064962</v>
      </c>
      <c r="K38" s="100">
        <f t="shared" si="6"/>
        <v>0.35029256687242799</v>
      </c>
      <c r="L38" s="101">
        <f>SUM(B38:K38)</f>
        <v>0.76109221781305125</v>
      </c>
      <c r="M38" s="85" t="s">
        <v>149</v>
      </c>
    </row>
    <row r="39" spans="1:21">
      <c r="A39" s="85" t="s">
        <v>128</v>
      </c>
      <c r="B39" s="100">
        <f t="shared" ref="B39:K39" si="7">+C27*C$32</f>
        <v>8.4549611901087618E-2</v>
      </c>
      <c r="C39" s="100">
        <f t="shared" si="7"/>
        <v>6.3175227807172286E-3</v>
      </c>
      <c r="D39" s="100">
        <f t="shared" si="7"/>
        <v>1.5351088514109356E-2</v>
      </c>
      <c r="E39" s="100">
        <f t="shared" si="7"/>
        <v>2.368543044532628E-2</v>
      </c>
      <c r="F39" s="100">
        <f t="shared" si="7"/>
        <v>1.9685762051734286E-2</v>
      </c>
      <c r="G39" s="100">
        <f t="shared" si="7"/>
        <v>5.101190292475017E-2</v>
      </c>
      <c r="H39" s="100">
        <f t="shared" si="7"/>
        <v>4.1804269547325093E-2</v>
      </c>
      <c r="I39" s="100">
        <f t="shared" si="7"/>
        <v>4.2212555114638464E-2</v>
      </c>
      <c r="J39" s="100">
        <f t="shared" si="7"/>
        <v>0.11113924162257496</v>
      </c>
      <c r="K39" s="100">
        <f t="shared" si="7"/>
        <v>0.3467896412037037</v>
      </c>
      <c r="L39" s="101">
        <f>SUM(B39:K39)</f>
        <v>0.74254702610596712</v>
      </c>
      <c r="M39" s="85" t="s">
        <v>150</v>
      </c>
    </row>
    <row r="40" spans="1:21">
      <c r="A40" s="85" t="s">
        <v>129</v>
      </c>
      <c r="B40" s="100">
        <f t="shared" ref="B40:K40" si="8">+C28*C$32</f>
        <v>8.4549611901087618E-2</v>
      </c>
      <c r="C40" s="100">
        <f t="shared" si="8"/>
        <v>5.671412496325693E-3</v>
      </c>
      <c r="D40" s="100">
        <f t="shared" si="8"/>
        <v>1.3009397045855384E-2</v>
      </c>
      <c r="E40" s="100">
        <f t="shared" si="8"/>
        <v>2.0573476080246914E-2</v>
      </c>
      <c r="F40" s="100">
        <f t="shared" si="8"/>
        <v>1.7484064980158743E-2</v>
      </c>
      <c r="G40" s="100">
        <f t="shared" si="8"/>
        <v>4.6346180096266919E-2</v>
      </c>
      <c r="H40" s="100">
        <f t="shared" si="8"/>
        <v>3.8937691064079946E-2</v>
      </c>
      <c r="I40" s="100">
        <f t="shared" si="8"/>
        <v>4.0377226631393315E-2</v>
      </c>
      <c r="J40" s="100">
        <f t="shared" si="8"/>
        <v>0.10882384075543798</v>
      </c>
      <c r="K40" s="100">
        <f t="shared" si="8"/>
        <v>0.34503817836934159</v>
      </c>
      <c r="L40" s="101">
        <f>SUM(B40:K40)</f>
        <v>0.72081107942019407</v>
      </c>
      <c r="M40" s="85" t="s">
        <v>151</v>
      </c>
    </row>
    <row r="41" spans="1:21">
      <c r="A41" s="86" t="s">
        <v>130</v>
      </c>
      <c r="B41" s="102">
        <f t="shared" ref="B41:K41" si="9">+C29*C$32</f>
        <v>8.4549611901087618E-2</v>
      </c>
      <c r="C41" s="102">
        <f t="shared" si="9"/>
        <v>5.4560424015285148E-3</v>
      </c>
      <c r="D41" s="102">
        <f t="shared" si="9"/>
        <v>1.2228833223104061E-2</v>
      </c>
      <c r="E41" s="102">
        <f t="shared" si="9"/>
        <v>1.9363271604938274E-2</v>
      </c>
      <c r="F41" s="102">
        <f t="shared" si="9"/>
        <v>1.6577483833039398E-2</v>
      </c>
      <c r="G41" s="102">
        <f t="shared" si="9"/>
        <v>4.4790939153439166E-2</v>
      </c>
      <c r="H41" s="102">
        <f t="shared" si="9"/>
        <v>3.7982164902998224E-2</v>
      </c>
      <c r="I41" s="102">
        <f t="shared" si="9"/>
        <v>3.945956238977074E-2</v>
      </c>
      <c r="J41" s="102">
        <f t="shared" si="9"/>
        <v>0.10708729010508526</v>
      </c>
      <c r="K41" s="102">
        <f t="shared" si="9"/>
        <v>0.34328671553497941</v>
      </c>
      <c r="L41" s="103">
        <f>SUM(B41:K41)</f>
        <v>0.71078191504997057</v>
      </c>
      <c r="M41" s="86" t="s">
        <v>152</v>
      </c>
    </row>
    <row r="43" spans="1:21">
      <c r="A43" s="80" t="s">
        <v>153</v>
      </c>
      <c r="B43" s="84"/>
      <c r="C43" s="104">
        <v>0</v>
      </c>
      <c r="D43" s="104">
        <v>0.1</v>
      </c>
      <c r="E43" s="104">
        <v>0.2</v>
      </c>
      <c r="F43" s="104">
        <v>0.3</v>
      </c>
      <c r="G43" s="104">
        <v>0.4</v>
      </c>
      <c r="H43" s="104">
        <v>0.5</v>
      </c>
      <c r="I43" s="104">
        <v>0.6</v>
      </c>
      <c r="J43" s="104">
        <v>0.7</v>
      </c>
      <c r="K43" s="104">
        <v>0.8</v>
      </c>
      <c r="L43" s="104">
        <v>0.9</v>
      </c>
      <c r="M43" s="104">
        <v>1</v>
      </c>
      <c r="N43" s="335"/>
      <c r="O43" s="340"/>
      <c r="P43" s="340"/>
      <c r="Q43" s="340"/>
      <c r="R43" s="340"/>
      <c r="S43" s="340"/>
      <c r="T43" s="340"/>
      <c r="U43" s="336"/>
    </row>
    <row r="44" spans="1:21">
      <c r="A44" s="90">
        <f>+(M44-D44)/9</f>
        <v>5.5555555555555552E-2</v>
      </c>
      <c r="B44" s="92" t="s">
        <v>154</v>
      </c>
      <c r="C44" s="109">
        <f>+D44-A44</f>
        <v>6.4444444444444446</v>
      </c>
      <c r="D44" s="109">
        <v>6.5</v>
      </c>
      <c r="E44" s="109">
        <f t="shared" ref="E44:L44" si="10">+D44+$A$44</f>
        <v>6.5555555555555554</v>
      </c>
      <c r="F44" s="109">
        <f t="shared" si="10"/>
        <v>6.6111111111111107</v>
      </c>
      <c r="G44" s="109">
        <f t="shared" si="10"/>
        <v>6.6666666666666661</v>
      </c>
      <c r="H44" s="109">
        <f t="shared" si="10"/>
        <v>6.7222222222222214</v>
      </c>
      <c r="I44" s="109">
        <f t="shared" si="10"/>
        <v>6.7777777777777768</v>
      </c>
      <c r="J44" s="109">
        <f t="shared" si="10"/>
        <v>6.8333333333333321</v>
      </c>
      <c r="K44" s="109">
        <f t="shared" si="10"/>
        <v>6.8888888888888875</v>
      </c>
      <c r="L44" s="109">
        <f t="shared" si="10"/>
        <v>6.9444444444444429</v>
      </c>
      <c r="M44" s="110">
        <v>7</v>
      </c>
      <c r="N44" s="341" t="s">
        <v>155</v>
      </c>
      <c r="O44" s="336"/>
      <c r="P44" s="336"/>
      <c r="Q44" s="336"/>
      <c r="R44" s="336"/>
      <c r="S44" s="336"/>
      <c r="T44" s="336"/>
      <c r="U44" s="336"/>
    </row>
    <row r="45" spans="1:21">
      <c r="A45" s="91">
        <f>+(M45-D45)/9</f>
        <v>0.6333333333333333</v>
      </c>
      <c r="B45" s="86" t="s">
        <v>156</v>
      </c>
      <c r="C45" s="111">
        <f>+D45-A45</f>
        <v>1.1666666666666667</v>
      </c>
      <c r="D45" s="111">
        <v>1.8</v>
      </c>
      <c r="E45" s="111">
        <f>+D45+$A$45</f>
        <v>2.4333333333333336</v>
      </c>
      <c r="F45" s="111">
        <f t="shared" ref="F45:L45" si="11">+E45+$A$45</f>
        <v>3.0666666666666669</v>
      </c>
      <c r="G45" s="111">
        <f t="shared" si="11"/>
        <v>3.7</v>
      </c>
      <c r="H45" s="111">
        <f t="shared" si="11"/>
        <v>4.3333333333333339</v>
      </c>
      <c r="I45" s="111">
        <f t="shared" si="11"/>
        <v>4.9666666666666668</v>
      </c>
      <c r="J45" s="111">
        <f t="shared" si="11"/>
        <v>5.6</v>
      </c>
      <c r="K45" s="111">
        <f t="shared" si="11"/>
        <v>6.2333333333333325</v>
      </c>
      <c r="L45" s="111">
        <f t="shared" si="11"/>
        <v>6.8666666666666654</v>
      </c>
      <c r="M45" s="112">
        <v>7.5</v>
      </c>
      <c r="N45" s="330" t="s">
        <v>157</v>
      </c>
      <c r="O45" s="337"/>
      <c r="P45" s="337"/>
      <c r="Q45" s="337"/>
      <c r="R45" s="337"/>
      <c r="S45" s="337"/>
      <c r="T45" s="337"/>
      <c r="U45" s="331"/>
    </row>
    <row r="47" spans="1:21">
      <c r="A47" s="84"/>
      <c r="B47" s="94" t="s">
        <v>131</v>
      </c>
      <c r="C47" s="94" t="s">
        <v>132</v>
      </c>
      <c r="D47" s="94" t="s">
        <v>133</v>
      </c>
      <c r="E47" s="94" t="s">
        <v>134</v>
      </c>
      <c r="F47" s="94" t="s">
        <v>135</v>
      </c>
      <c r="G47" s="94" t="s">
        <v>136</v>
      </c>
      <c r="H47" s="94" t="s">
        <v>137</v>
      </c>
      <c r="I47" s="94" t="s">
        <v>138</v>
      </c>
      <c r="J47" s="94" t="s">
        <v>139</v>
      </c>
      <c r="K47" s="94" t="s">
        <v>140</v>
      </c>
      <c r="L47" s="95" t="s">
        <v>147</v>
      </c>
      <c r="M47" s="332"/>
      <c r="N47" s="333"/>
      <c r="O47" s="334"/>
    </row>
    <row r="48" spans="1:21">
      <c r="A48" s="85" t="s">
        <v>154</v>
      </c>
      <c r="B48" s="105">
        <f>AVERAGE(C44:D44)</f>
        <v>6.4722222222222223</v>
      </c>
      <c r="C48" s="105">
        <f t="shared" ref="C48:K49" si="12">AVERAGE(D44:E44)</f>
        <v>6.5277777777777777</v>
      </c>
      <c r="D48" s="105">
        <f t="shared" si="12"/>
        <v>6.583333333333333</v>
      </c>
      <c r="E48" s="105">
        <f t="shared" si="12"/>
        <v>6.6388888888888884</v>
      </c>
      <c r="F48" s="105">
        <f t="shared" si="12"/>
        <v>6.6944444444444438</v>
      </c>
      <c r="G48" s="105">
        <f t="shared" si="12"/>
        <v>6.7499999999999991</v>
      </c>
      <c r="H48" s="105">
        <f t="shared" si="12"/>
        <v>6.8055555555555545</v>
      </c>
      <c r="I48" s="105">
        <f t="shared" si="12"/>
        <v>6.8611111111111098</v>
      </c>
      <c r="J48" s="105">
        <f t="shared" si="12"/>
        <v>6.9166666666666652</v>
      </c>
      <c r="K48" s="105">
        <f t="shared" si="12"/>
        <v>6.9722222222222214</v>
      </c>
      <c r="L48" s="113"/>
      <c r="M48" s="342" t="s">
        <v>158</v>
      </c>
      <c r="N48" s="347"/>
      <c r="O48" s="339"/>
    </row>
    <row r="49" spans="1:15">
      <c r="A49" s="85" t="s">
        <v>156</v>
      </c>
      <c r="B49" s="105">
        <f>AVERAGE(C45:D45)</f>
        <v>1.4833333333333334</v>
      </c>
      <c r="C49" s="105">
        <f t="shared" si="12"/>
        <v>2.1166666666666667</v>
      </c>
      <c r="D49" s="105">
        <f t="shared" si="12"/>
        <v>2.75</v>
      </c>
      <c r="E49" s="105">
        <f t="shared" si="12"/>
        <v>3.3833333333333337</v>
      </c>
      <c r="F49" s="105">
        <f t="shared" si="12"/>
        <v>4.0166666666666675</v>
      </c>
      <c r="G49" s="105">
        <f t="shared" si="12"/>
        <v>4.6500000000000004</v>
      </c>
      <c r="H49" s="105">
        <f t="shared" si="12"/>
        <v>5.2833333333333332</v>
      </c>
      <c r="I49" s="105">
        <f t="shared" si="12"/>
        <v>5.9166666666666661</v>
      </c>
      <c r="J49" s="105">
        <f t="shared" si="12"/>
        <v>6.5499999999999989</v>
      </c>
      <c r="K49" s="105">
        <f t="shared" si="12"/>
        <v>7.1833333333333327</v>
      </c>
      <c r="L49" s="114"/>
      <c r="M49" s="342" t="s">
        <v>159</v>
      </c>
      <c r="N49" s="347"/>
      <c r="O49" s="339"/>
    </row>
    <row r="50" spans="1:15">
      <c r="A50" s="85" t="s">
        <v>160</v>
      </c>
      <c r="B50" s="105">
        <f>+B48*C$32</f>
        <v>1.7941766459884709</v>
      </c>
      <c r="C50" s="105">
        <f t="shared" ref="C50:K50" si="13">+C48*D$32</f>
        <v>9.3725874587660893E-2</v>
      </c>
      <c r="D50" s="105">
        <f t="shared" si="13"/>
        <v>0.1712903944370959</v>
      </c>
      <c r="E50" s="105">
        <f t="shared" si="13"/>
        <v>0.22955465841171857</v>
      </c>
      <c r="F50" s="105">
        <f t="shared" si="13"/>
        <v>0.17340163210774717</v>
      </c>
      <c r="G50" s="105">
        <f t="shared" si="13"/>
        <v>0.41991505456349215</v>
      </c>
      <c r="H50" s="105">
        <f t="shared" si="13"/>
        <v>0.32514431870141736</v>
      </c>
      <c r="I50" s="105">
        <f t="shared" si="13"/>
        <v>0.31480981622330012</v>
      </c>
      <c r="J50" s="105">
        <f t="shared" si="13"/>
        <v>0.80074279988487163</v>
      </c>
      <c r="K50" s="105">
        <f t="shared" si="13"/>
        <v>2.442317619027206</v>
      </c>
      <c r="L50" s="115">
        <f>SUM(B50:K50)</f>
        <v>6.7650788139329805</v>
      </c>
      <c r="M50" s="342" t="s">
        <v>161</v>
      </c>
      <c r="N50" s="347"/>
      <c r="O50" s="339"/>
    </row>
    <row r="51" spans="1:15">
      <c r="A51" s="86" t="s">
        <v>162</v>
      </c>
      <c r="B51" s="107">
        <f t="shared" ref="B51:K51" si="14">+B49*C$32</f>
        <v>0.41119756607632768</v>
      </c>
      <c r="C51" s="107">
        <f t="shared" si="14"/>
        <v>3.0391113376935151E-2</v>
      </c>
      <c r="D51" s="107">
        <f t="shared" si="14"/>
        <v>7.1551683752204609E-2</v>
      </c>
      <c r="E51" s="107">
        <f t="shared" si="14"/>
        <v>0.11698643261316874</v>
      </c>
      <c r="F51" s="107">
        <f t="shared" si="14"/>
        <v>0.10404097926464834</v>
      </c>
      <c r="G51" s="107">
        <f t="shared" si="14"/>
        <v>0.28927481536596134</v>
      </c>
      <c r="H51" s="107">
        <f t="shared" si="14"/>
        <v>0.25241816088575342</v>
      </c>
      <c r="I51" s="107">
        <f t="shared" si="14"/>
        <v>0.27147567148001184</v>
      </c>
      <c r="J51" s="107">
        <f t="shared" si="14"/>
        <v>0.75829378398736036</v>
      </c>
      <c r="K51" s="107">
        <f t="shared" si="14"/>
        <v>2.5162682720336074</v>
      </c>
      <c r="L51" s="116">
        <f>SUM(B51:K51)</f>
        <v>4.8218984788359789</v>
      </c>
      <c r="M51" s="330" t="s">
        <v>163</v>
      </c>
      <c r="N51" s="337"/>
      <c r="O51" s="331"/>
    </row>
    <row r="52" spans="1:15">
      <c r="B52" s="96"/>
      <c r="C52" s="96"/>
      <c r="D52" s="96"/>
      <c r="E52" s="96"/>
      <c r="F52" s="96"/>
      <c r="G52" s="96"/>
      <c r="H52" s="96"/>
      <c r="I52" s="96"/>
      <c r="J52" s="96"/>
      <c r="K52" s="96"/>
      <c r="L52" s="97">
        <v>7.0000000000000007E-2</v>
      </c>
      <c r="M52" s="348" t="s">
        <v>164</v>
      </c>
      <c r="N52" s="348"/>
      <c r="O52" s="348"/>
    </row>
    <row r="53" spans="1:15" ht="105.75" customHeight="1">
      <c r="B53" s="96"/>
      <c r="C53" s="96"/>
      <c r="D53" s="96"/>
      <c r="E53" s="96"/>
      <c r="F53" s="96"/>
      <c r="G53" s="96"/>
      <c r="H53" s="96"/>
      <c r="I53" s="96"/>
      <c r="J53" s="96"/>
      <c r="K53" s="96"/>
      <c r="L53" s="98">
        <f>+BackEnd!C127</f>
        <v>0.21763741496598613</v>
      </c>
      <c r="M53" s="349" t="s">
        <v>165</v>
      </c>
      <c r="N53" s="349"/>
      <c r="O53" s="349"/>
    </row>
    <row r="54" spans="1:15">
      <c r="L54" s="19"/>
    </row>
    <row r="55" spans="1:15">
      <c r="A55" s="18" t="s">
        <v>166</v>
      </c>
    </row>
    <row r="56" spans="1:15">
      <c r="B56" s="343" t="s">
        <v>167</v>
      </c>
      <c r="C56" s="344"/>
      <c r="D56" s="344"/>
      <c r="E56" s="344"/>
      <c r="F56" s="344"/>
      <c r="G56" s="345"/>
    </row>
    <row r="57" spans="1:15">
      <c r="A57" s="124" t="s">
        <v>168</v>
      </c>
      <c r="B57" s="166" t="s">
        <v>169</v>
      </c>
      <c r="C57" s="166" t="s">
        <v>170</v>
      </c>
      <c r="D57" s="167" t="s">
        <v>171</v>
      </c>
      <c r="E57" s="167" t="s">
        <v>172</v>
      </c>
      <c r="F57" s="167" t="s">
        <v>173</v>
      </c>
      <c r="G57" s="168" t="s">
        <v>174</v>
      </c>
    </row>
    <row r="58" spans="1:15">
      <c r="A58" s="125">
        <v>30</v>
      </c>
      <c r="B58" s="16">
        <v>0.13</v>
      </c>
      <c r="C58" s="16">
        <v>0.51</v>
      </c>
      <c r="D58" s="16">
        <v>2.09</v>
      </c>
      <c r="E58" s="16">
        <v>8.33</v>
      </c>
      <c r="F58" s="16">
        <v>33.36</v>
      </c>
      <c r="G58" s="122">
        <v>75.010000000000005</v>
      </c>
    </row>
    <row r="59" spans="1:15">
      <c r="A59" s="125">
        <v>40</v>
      </c>
      <c r="B59" s="16">
        <v>0.17</v>
      </c>
      <c r="C59" s="16">
        <v>0.67</v>
      </c>
      <c r="D59" s="16">
        <v>2.75</v>
      </c>
      <c r="E59" s="16">
        <v>10.97</v>
      </c>
      <c r="F59" s="16">
        <v>43.91</v>
      </c>
      <c r="G59" s="122">
        <v>98.74</v>
      </c>
    </row>
    <row r="60" spans="1:15">
      <c r="A60" s="125">
        <v>50</v>
      </c>
      <c r="B60" s="16">
        <v>0.21</v>
      </c>
      <c r="C60" s="16">
        <v>0.84</v>
      </c>
      <c r="D60" s="16">
        <v>3.39</v>
      </c>
      <c r="E60" s="16">
        <v>13.53</v>
      </c>
      <c r="F60" s="16">
        <v>54.18</v>
      </c>
      <c r="G60" s="122">
        <v>121.84</v>
      </c>
    </row>
    <row r="61" spans="1:15">
      <c r="A61" s="125">
        <v>60</v>
      </c>
      <c r="B61" s="16">
        <v>0.25</v>
      </c>
      <c r="C61" s="16">
        <v>1</v>
      </c>
      <c r="D61" s="16">
        <v>4.01</v>
      </c>
      <c r="E61" s="16">
        <v>16.03</v>
      </c>
      <c r="F61" s="16">
        <v>64.150000000000006</v>
      </c>
      <c r="G61" s="122">
        <v>144.30000000000001</v>
      </c>
    </row>
    <row r="62" spans="1:15">
      <c r="A62" s="126">
        <v>70</v>
      </c>
      <c r="B62" s="16">
        <v>0.28999999999999998</v>
      </c>
      <c r="C62" s="16">
        <v>1.1599999999999999</v>
      </c>
      <c r="D62" s="16">
        <v>4.66</v>
      </c>
      <c r="E62" s="16">
        <v>18.62</v>
      </c>
      <c r="F62" s="16">
        <v>74.400000000000006</v>
      </c>
      <c r="G62" s="122">
        <v>167.8</v>
      </c>
    </row>
    <row r="63" spans="1:15">
      <c r="A63" s="126">
        <v>80</v>
      </c>
      <c r="B63" s="16">
        <v>0.32</v>
      </c>
      <c r="C63" s="16">
        <v>1.26</v>
      </c>
      <c r="D63" s="16">
        <v>5.24</v>
      </c>
      <c r="E63" s="16">
        <v>20.76</v>
      </c>
      <c r="F63" s="16">
        <v>83.1</v>
      </c>
      <c r="G63" s="122">
        <v>187.2</v>
      </c>
    </row>
    <row r="64" spans="1:15">
      <c r="A64" s="126">
        <v>90</v>
      </c>
      <c r="B64" s="16">
        <v>0.36</v>
      </c>
      <c r="C64" s="16">
        <v>1.46</v>
      </c>
      <c r="D64" s="16">
        <v>5.72</v>
      </c>
      <c r="E64" s="16">
        <v>23.1</v>
      </c>
      <c r="F64" s="16">
        <v>92</v>
      </c>
      <c r="G64" s="122">
        <v>206.6</v>
      </c>
    </row>
    <row r="65" spans="1:8">
      <c r="A65" s="126">
        <v>100</v>
      </c>
      <c r="B65" s="16">
        <v>0.4</v>
      </c>
      <c r="C65" s="16">
        <v>1.55</v>
      </c>
      <c r="D65" s="16">
        <v>6.31</v>
      </c>
      <c r="E65" s="16">
        <v>25.22</v>
      </c>
      <c r="F65" s="16">
        <v>100.9</v>
      </c>
      <c r="G65" s="122">
        <v>227</v>
      </c>
    </row>
    <row r="66" spans="1:8">
      <c r="A66" s="127">
        <v>125</v>
      </c>
      <c r="B66" s="93">
        <v>0.48</v>
      </c>
      <c r="C66" s="93">
        <v>1.94</v>
      </c>
      <c r="D66" s="93">
        <v>7.66</v>
      </c>
      <c r="E66" s="93">
        <v>30.65</v>
      </c>
      <c r="F66" s="93">
        <v>122.2</v>
      </c>
      <c r="G66" s="123">
        <v>275.5</v>
      </c>
    </row>
    <row r="67" spans="1:8">
      <c r="A67" s="18" t="s">
        <v>175</v>
      </c>
    </row>
    <row r="69" spans="1:8">
      <c r="A69" s="18" t="s">
        <v>176</v>
      </c>
    </row>
    <row r="70" spans="1:8">
      <c r="A70" s="95" t="s">
        <v>168</v>
      </c>
      <c r="B70" s="94" t="s">
        <v>172</v>
      </c>
      <c r="C70" s="94" t="s">
        <v>173</v>
      </c>
      <c r="D70" s="128" t="s">
        <v>174</v>
      </c>
    </row>
    <row r="71" spans="1:8">
      <c r="A71" s="129">
        <v>100</v>
      </c>
      <c r="B71" s="111">
        <f>0.97*E65</f>
        <v>24.463399999999996</v>
      </c>
      <c r="C71" s="111">
        <f>0.97*F65</f>
        <v>97.873000000000005</v>
      </c>
      <c r="D71" s="132">
        <f>0.97*G65</f>
        <v>220.19</v>
      </c>
      <c r="E71" s="131" t="s">
        <v>177</v>
      </c>
    </row>
    <row r="72" spans="1:8">
      <c r="D72" s="96">
        <v>6</v>
      </c>
      <c r="E72" s="18" t="s">
        <v>178</v>
      </c>
    </row>
    <row r="73" spans="1:8">
      <c r="D73" s="96">
        <v>4</v>
      </c>
      <c r="E73" s="18" t="s">
        <v>179</v>
      </c>
    </row>
    <row r="76" spans="1:8">
      <c r="A76" s="99" t="s">
        <v>180</v>
      </c>
      <c r="B76" s="94" t="s">
        <v>169</v>
      </c>
      <c r="C76" s="94" t="s">
        <v>170</v>
      </c>
      <c r="D76" s="94" t="s">
        <v>171</v>
      </c>
      <c r="E76" s="94" t="s">
        <v>172</v>
      </c>
      <c r="F76" s="94" t="s">
        <v>173</v>
      </c>
      <c r="G76" s="128" t="s">
        <v>174</v>
      </c>
    </row>
    <row r="77" spans="1:8">
      <c r="A77" s="133">
        <v>80</v>
      </c>
      <c r="B77" s="135">
        <f>0.97*B63</f>
        <v>0.31040000000000001</v>
      </c>
      <c r="C77" s="136">
        <f t="shared" ref="C77:E77" si="15">0.97*C63</f>
        <v>1.2222</v>
      </c>
      <c r="D77" s="136">
        <f>0.97*D63</f>
        <v>5.0827999999999998</v>
      </c>
      <c r="E77" s="136">
        <f t="shared" si="15"/>
        <v>20.1372</v>
      </c>
      <c r="F77" s="136">
        <f>0.97*F63</f>
        <v>80.606999999999999</v>
      </c>
      <c r="G77" s="137">
        <f>0.97*G63</f>
        <v>181.58399999999997</v>
      </c>
      <c r="H77" s="18" t="s">
        <v>181</v>
      </c>
    </row>
    <row r="78" spans="1:8">
      <c r="A78" s="134">
        <f>+A58</f>
        <v>30</v>
      </c>
      <c r="B78" s="138">
        <f t="shared" ref="B78:F78" si="16">0.97*B58</f>
        <v>0.12609999999999999</v>
      </c>
      <c r="C78" s="107">
        <f t="shared" si="16"/>
        <v>0.49469999999999997</v>
      </c>
      <c r="D78" s="107">
        <f t="shared" si="16"/>
        <v>2.0272999999999999</v>
      </c>
      <c r="E78" s="107">
        <f t="shared" si="16"/>
        <v>8.0800999999999998</v>
      </c>
      <c r="F78" s="107">
        <f t="shared" si="16"/>
        <v>32.359200000000001</v>
      </c>
      <c r="G78" s="130">
        <f>0.97*G58</f>
        <v>72.759700000000009</v>
      </c>
      <c r="H78" s="18" t="s">
        <v>182</v>
      </c>
    </row>
    <row r="79" spans="1:8">
      <c r="G79" s="209">
        <v>0.05</v>
      </c>
      <c r="H79" s="18" t="s">
        <v>183</v>
      </c>
    </row>
    <row r="81" spans="1:19" s="96" customFormat="1" ht="43.2">
      <c r="A81" s="169" t="s">
        <v>184</v>
      </c>
      <c r="B81" s="161" t="s">
        <v>185</v>
      </c>
      <c r="C81" s="161" t="s">
        <v>186</v>
      </c>
      <c r="D81" s="161" t="s">
        <v>187</v>
      </c>
      <c r="E81" s="161" t="s">
        <v>188</v>
      </c>
      <c r="F81" s="161" t="s">
        <v>189</v>
      </c>
      <c r="G81" s="161" t="s">
        <v>190</v>
      </c>
      <c r="H81" s="161" t="s">
        <v>191</v>
      </c>
      <c r="I81" s="161" t="s">
        <v>192</v>
      </c>
      <c r="J81" s="161"/>
      <c r="K81" s="162"/>
      <c r="L81" s="161" t="s">
        <v>193</v>
      </c>
      <c r="M81" s="165" t="s">
        <v>194</v>
      </c>
    </row>
    <row r="82" spans="1:19">
      <c r="A82" s="85" t="s">
        <v>195</v>
      </c>
      <c r="B82" s="110">
        <f>+B71</f>
        <v>24.463399999999996</v>
      </c>
      <c r="C82" s="110" t="e">
        <f>+B82/100*A$15</f>
        <v>#REF!</v>
      </c>
      <c r="D82" s="145">
        <f>+$D$72*$D$73/3600</f>
        <v>6.6666666666666671E-3</v>
      </c>
      <c r="E82" s="157" t="e">
        <f>+C82*D82</f>
        <v>#REF!</v>
      </c>
      <c r="F82" s="153" t="e">
        <f>+E82*$F$94</f>
        <v>#REF!</v>
      </c>
      <c r="G82" s="154">
        <v>0</v>
      </c>
      <c r="H82" s="153" t="e">
        <f>+F82-G82</f>
        <v>#REF!</v>
      </c>
      <c r="I82" s="146" t="e">
        <f>+F82/$G$94</f>
        <v>#REF!</v>
      </c>
      <c r="J82" s="105" t="e">
        <f>+H82/$F$94</f>
        <v>#REF!</v>
      </c>
      <c r="K82" s="106" t="e">
        <f>J82*$D$142</f>
        <v>#REF!</v>
      </c>
      <c r="L82" s="147" t="e">
        <f>+H82*0.1</f>
        <v>#REF!</v>
      </c>
      <c r="M82" s="148" t="e">
        <f>+H82/$A$12*$D$142*800</f>
        <v>#REF!</v>
      </c>
    </row>
    <row r="83" spans="1:19">
      <c r="A83" s="85" t="s">
        <v>196</v>
      </c>
      <c r="B83" s="110">
        <f>+C71</f>
        <v>97.873000000000005</v>
      </c>
      <c r="C83" s="110" t="e">
        <f>+B83/100*A$15</f>
        <v>#REF!</v>
      </c>
      <c r="D83" s="145">
        <f>+$D$72*$D$73/3600</f>
        <v>6.6666666666666671E-3</v>
      </c>
      <c r="E83" s="157" t="e">
        <f>+C83*D83</f>
        <v>#REF!</v>
      </c>
      <c r="F83" s="153" t="e">
        <f>+E83*$F$94</f>
        <v>#REF!</v>
      </c>
      <c r="G83" s="154">
        <v>0</v>
      </c>
      <c r="H83" s="153" t="e">
        <f>+F83-G83</f>
        <v>#REF!</v>
      </c>
      <c r="I83" s="100" t="e">
        <f>+F83/$G$94</f>
        <v>#REF!</v>
      </c>
      <c r="J83" s="105" t="e">
        <f>+H83/$F$94</f>
        <v>#REF!</v>
      </c>
      <c r="K83" s="106" t="e">
        <f t="shared" ref="K83:K84" si="17">J83*$D$142</f>
        <v>#REF!</v>
      </c>
      <c r="L83" s="147" t="e">
        <f>+H83*0.1</f>
        <v>#REF!</v>
      </c>
      <c r="M83" s="148" t="e">
        <f>+H83/$A$12*$D$142*800</f>
        <v>#REF!</v>
      </c>
    </row>
    <row r="84" spans="1:19">
      <c r="A84" s="85" t="s">
        <v>197</v>
      </c>
      <c r="B84" s="110">
        <f>+D71</f>
        <v>220.19</v>
      </c>
      <c r="C84" s="110" t="e">
        <f>+B84/100*A$15</f>
        <v>#REF!</v>
      </c>
      <c r="D84" s="145">
        <f>+$D$72*$D$73/3600</f>
        <v>6.6666666666666671E-3</v>
      </c>
      <c r="E84" s="157" t="e">
        <f>+C84*D84</f>
        <v>#REF!</v>
      </c>
      <c r="F84" s="153" t="e">
        <f>+E84*$F$94</f>
        <v>#REF!</v>
      </c>
      <c r="G84" s="154">
        <v>0</v>
      </c>
      <c r="H84" s="153" t="e">
        <f>+F84-G84</f>
        <v>#REF!</v>
      </c>
      <c r="I84" s="100" t="e">
        <f>+F84/$G$94</f>
        <v>#REF!</v>
      </c>
      <c r="J84" s="105" t="e">
        <f>+H84/$F$94</f>
        <v>#REF!</v>
      </c>
      <c r="K84" s="106" t="e">
        <f t="shared" si="17"/>
        <v>#REF!</v>
      </c>
      <c r="L84" s="147" t="e">
        <f>+H84*0.1</f>
        <v>#REF!</v>
      </c>
      <c r="M84" s="148" t="e">
        <f>+H84/$A$12*$D$142*800</f>
        <v>#REF!</v>
      </c>
    </row>
    <row r="85" spans="1:19">
      <c r="A85" s="86" t="s">
        <v>198</v>
      </c>
      <c r="B85" s="159">
        <f>403.5*0.97</f>
        <v>391.39499999999998</v>
      </c>
      <c r="C85" s="112" t="e">
        <f>+B85/100*A$15</f>
        <v>#REF!</v>
      </c>
      <c r="D85" s="150">
        <f>+$D$72*$D$73/3600</f>
        <v>6.6666666666666671E-3</v>
      </c>
      <c r="E85" s="158" t="e">
        <f>+C85*D85</f>
        <v>#REF!</v>
      </c>
      <c r="F85" s="155" t="e">
        <f>+E85*$F$94</f>
        <v>#REF!</v>
      </c>
      <c r="G85" s="156"/>
      <c r="H85" s="155" t="e">
        <f>+F85-G85</f>
        <v>#REF!</v>
      </c>
      <c r="I85" s="102" t="e">
        <f>+F85/$G$94</f>
        <v>#REF!</v>
      </c>
      <c r="J85" s="107" t="e">
        <f>+H85/$F$94</f>
        <v>#REF!</v>
      </c>
      <c r="K85" s="108" t="e">
        <f t="shared" ref="K85" si="18">J85*$D$142</f>
        <v>#REF!</v>
      </c>
      <c r="L85" s="151" t="e">
        <f>+H85*0.1</f>
        <v>#REF!</v>
      </c>
      <c r="M85" s="152" t="e">
        <f>+H85/$A$12*$D$142*800</f>
        <v>#REF!</v>
      </c>
      <c r="N85" s="35" t="e">
        <f>H85*0.5</f>
        <v>#REF!</v>
      </c>
    </row>
    <row r="86" spans="1:19">
      <c r="C86" s="35"/>
      <c r="D86" s="51"/>
      <c r="E86" s="54"/>
      <c r="F86" s="37"/>
      <c r="H86" s="37"/>
      <c r="I86" s="19"/>
      <c r="N86" s="35"/>
    </row>
    <row r="87" spans="1:19" s="96" customFormat="1" ht="57.6">
      <c r="A87" s="169" t="s">
        <v>199</v>
      </c>
      <c r="B87" s="161" t="s">
        <v>200</v>
      </c>
      <c r="C87" s="161" t="s">
        <v>201</v>
      </c>
      <c r="D87" s="161" t="s">
        <v>202</v>
      </c>
      <c r="E87" s="161" t="s">
        <v>203</v>
      </c>
      <c r="F87" s="161" t="s">
        <v>191</v>
      </c>
      <c r="G87" s="161" t="s">
        <v>192</v>
      </c>
      <c r="H87" s="162"/>
      <c r="I87" s="162"/>
      <c r="J87" s="161" t="s">
        <v>204</v>
      </c>
      <c r="K87" s="161" t="s">
        <v>205</v>
      </c>
      <c r="L87" s="162" t="s">
        <v>206</v>
      </c>
      <c r="M87" s="161" t="s">
        <v>207</v>
      </c>
      <c r="N87" s="163" t="s">
        <v>208</v>
      </c>
      <c r="S87" s="79"/>
    </row>
    <row r="88" spans="1:19">
      <c r="A88" s="85" t="s">
        <v>209</v>
      </c>
      <c r="B88" s="39">
        <f>+D77</f>
        <v>5.0827999999999998</v>
      </c>
      <c r="C88" s="39">
        <f>+D78</f>
        <v>2.0272999999999999</v>
      </c>
      <c r="D88" s="35">
        <f>+B88-C88</f>
        <v>3.0554999999999999</v>
      </c>
      <c r="E88" s="35" t="e">
        <f>+D88*$A$15/100</f>
        <v>#REF!</v>
      </c>
      <c r="F88" s="197" t="e">
        <f>+E88*$G$79*$F$94</f>
        <v>#REF!</v>
      </c>
      <c r="G88" s="198" t="e">
        <f>+F88/$G$94</f>
        <v>#REF!</v>
      </c>
      <c r="H88" s="74" t="e">
        <f>+F88/$F$94</f>
        <v>#REF!</v>
      </c>
      <c r="I88" s="199" t="e">
        <f>H88*$D$142</f>
        <v>#REF!</v>
      </c>
      <c r="J88" s="200" t="e">
        <f>+F88*0.1</f>
        <v>#REF!</v>
      </c>
      <c r="K88" s="201" t="e">
        <f>+F88/$A$12*$D$142*800</f>
        <v>#REF!</v>
      </c>
      <c r="L88" s="202">
        <v>37.837499999999999</v>
      </c>
      <c r="M88" s="56">
        <f>L88/2</f>
        <v>18.918749999999999</v>
      </c>
      <c r="N88" s="139" t="e">
        <f>MIN(K88, M88)</f>
        <v>#REF!</v>
      </c>
    </row>
    <row r="89" spans="1:19">
      <c r="A89" s="85" t="s">
        <v>210</v>
      </c>
      <c r="B89" s="39">
        <f>+E77</f>
        <v>20.1372</v>
      </c>
      <c r="C89" s="39">
        <f>+E78</f>
        <v>8.0800999999999998</v>
      </c>
      <c r="D89" s="35">
        <f>+B89-C89</f>
        <v>12.0571</v>
      </c>
      <c r="E89" s="35" t="e">
        <f>+D89*$A$15/100</f>
        <v>#REF!</v>
      </c>
      <c r="F89" s="197" t="e">
        <f>+E89*$G$79*$F$94</f>
        <v>#REF!</v>
      </c>
      <c r="G89" s="198" t="e">
        <f>+F89/$G$94</f>
        <v>#REF!</v>
      </c>
      <c r="H89" s="75" t="e">
        <f>+F89/$F$94</f>
        <v>#REF!</v>
      </c>
      <c r="I89" s="199" t="e">
        <f t="shared" ref="I89:I91" si="19">H89*$D$142</f>
        <v>#REF!</v>
      </c>
      <c r="J89" s="200" t="e">
        <f>+F89*0.1</f>
        <v>#REF!</v>
      </c>
      <c r="K89" s="201" t="e">
        <f>+F89/$A$12*$D$142*800</f>
        <v>#REF!</v>
      </c>
      <c r="L89" s="202">
        <v>69.749999999999986</v>
      </c>
      <c r="M89" s="56">
        <f t="shared" ref="M89:M91" si="20">L89/2</f>
        <v>34.874999999999993</v>
      </c>
      <c r="N89" s="139" t="e">
        <f>MIN(K89, M89)</f>
        <v>#REF!</v>
      </c>
    </row>
    <row r="90" spans="1:19">
      <c r="A90" s="85" t="s">
        <v>211</v>
      </c>
      <c r="B90" s="39">
        <f>+F77</f>
        <v>80.606999999999999</v>
      </c>
      <c r="C90" s="39">
        <f>+F78</f>
        <v>32.359200000000001</v>
      </c>
      <c r="D90" s="35">
        <f>+B90-C90</f>
        <v>48.247799999999998</v>
      </c>
      <c r="E90" s="35" t="e">
        <f>+D90*$A$15/100</f>
        <v>#REF!</v>
      </c>
      <c r="F90" s="197" t="e">
        <f>+E90*$G$79*$F$94</f>
        <v>#REF!</v>
      </c>
      <c r="G90" s="198" t="e">
        <f>+F90/$G$94</f>
        <v>#REF!</v>
      </c>
      <c r="H90" s="75" t="e">
        <f>+F90/$F$94</f>
        <v>#REF!</v>
      </c>
      <c r="I90" s="199" t="e">
        <f t="shared" si="19"/>
        <v>#REF!</v>
      </c>
      <c r="J90" s="200" t="e">
        <f>+F90*0.1</f>
        <v>#REF!</v>
      </c>
      <c r="K90" s="201" t="e">
        <f>+F90/$A$12*$D$142*800</f>
        <v>#REF!</v>
      </c>
      <c r="L90" s="202">
        <v>121.51898734177215</v>
      </c>
      <c r="M90" s="56">
        <f t="shared" si="20"/>
        <v>60.759493670886073</v>
      </c>
      <c r="N90" s="139" t="e">
        <f>MIN(K90, M90)</f>
        <v>#REF!</v>
      </c>
    </row>
    <row r="91" spans="1:19">
      <c r="A91" s="86" t="s">
        <v>212</v>
      </c>
      <c r="B91" s="143">
        <f>+G77</f>
        <v>181.58399999999997</v>
      </c>
      <c r="C91" s="143">
        <f>+G78</f>
        <v>72.759700000000009</v>
      </c>
      <c r="D91" s="140">
        <f>+B91-C91</f>
        <v>108.82429999999997</v>
      </c>
      <c r="E91" s="140" t="e">
        <f>+D91*$A$15/100</f>
        <v>#REF!</v>
      </c>
      <c r="F91" s="203" t="e">
        <f>+E91*$G$79*$F$94</f>
        <v>#REF!</v>
      </c>
      <c r="G91" s="204" t="e">
        <f>+F91/$G$94</f>
        <v>#REF!</v>
      </c>
      <c r="H91" s="173" t="e">
        <f>+F91/$F$94</f>
        <v>#REF!</v>
      </c>
      <c r="I91" s="205" t="e">
        <f t="shared" si="19"/>
        <v>#REF!</v>
      </c>
      <c r="J91" s="206" t="e">
        <f>+F91*0.1</f>
        <v>#REF!</v>
      </c>
      <c r="K91" s="207" t="e">
        <f>+F91/$A$12*$D$142*800</f>
        <v>#REF!</v>
      </c>
      <c r="L91" s="208">
        <v>170.88607594936707</v>
      </c>
      <c r="M91" s="160">
        <f t="shared" si="20"/>
        <v>85.443037974683534</v>
      </c>
      <c r="N91" s="144" t="e">
        <f>MIN(K91, M91)</f>
        <v>#REF!</v>
      </c>
    </row>
    <row r="93" spans="1:19">
      <c r="C93" s="18" t="s">
        <v>213</v>
      </c>
      <c r="D93" s="18" t="s">
        <v>214</v>
      </c>
      <c r="E93" s="18" t="s">
        <v>215</v>
      </c>
      <c r="F93" s="18" t="s">
        <v>216</v>
      </c>
      <c r="G93" s="18" t="s">
        <v>217</v>
      </c>
    </row>
    <row r="94" spans="1:19">
      <c r="C94" s="18" t="e">
        <f>+A2</f>
        <v>#REF!</v>
      </c>
      <c r="D94" s="16" t="e">
        <f>+A6</f>
        <v>#REF!</v>
      </c>
      <c r="E94" s="18" t="e">
        <f>+A8</f>
        <v>#REF!</v>
      </c>
      <c r="F94" s="18">
        <f>+A12</f>
        <v>3920</v>
      </c>
      <c r="G94" s="37" t="e">
        <f>+D94*F94</f>
        <v>#REF!</v>
      </c>
    </row>
    <row r="95" spans="1:19">
      <c r="D95" s="16"/>
      <c r="G95" s="37"/>
    </row>
    <row r="96" spans="1:19" s="96" customFormat="1" ht="86.4">
      <c r="A96" s="164"/>
      <c r="B96" s="161" t="s">
        <v>218</v>
      </c>
      <c r="C96" s="161" t="s">
        <v>219</v>
      </c>
      <c r="D96" s="161" t="s">
        <v>220</v>
      </c>
      <c r="E96" s="161" t="s">
        <v>221</v>
      </c>
      <c r="F96" s="161" t="s">
        <v>222</v>
      </c>
      <c r="G96" s="161" t="s">
        <v>223</v>
      </c>
      <c r="H96" s="161" t="s">
        <v>224</v>
      </c>
      <c r="I96" s="161" t="s">
        <v>225</v>
      </c>
      <c r="J96" s="161" t="s">
        <v>226</v>
      </c>
      <c r="K96" s="161" t="s">
        <v>227</v>
      </c>
      <c r="L96" s="161" t="s">
        <v>228</v>
      </c>
      <c r="M96" s="165" t="s">
        <v>88</v>
      </c>
    </row>
    <row r="97" spans="1:28">
      <c r="A97" s="85" t="s">
        <v>229</v>
      </c>
      <c r="B97" s="20" t="e">
        <f>+$A$6*L34</f>
        <v>#REF!</v>
      </c>
      <c r="C97" s="37" t="e">
        <f>+$F$94*B97</f>
        <v>#REF!</v>
      </c>
      <c r="M97" s="82"/>
      <c r="AB97" s="78"/>
    </row>
    <row r="98" spans="1:28">
      <c r="A98" s="85" t="s">
        <v>230</v>
      </c>
      <c r="B98" s="20" t="e">
        <f>+$B$97/$L$37*L39</f>
        <v>#REF!</v>
      </c>
      <c r="C98" s="37" t="e">
        <f>+$F$94*B98</f>
        <v>#REF!</v>
      </c>
      <c r="D98" s="37" t="e">
        <f>+$C$97-C98</f>
        <v>#REF!</v>
      </c>
      <c r="E98" s="19" t="e">
        <f>+D98/$C$97</f>
        <v>#REF!</v>
      </c>
      <c r="F98" s="18">
        <v>3</v>
      </c>
      <c r="G98" s="37" t="e">
        <f>+F98*$E$94</f>
        <v>#REF!</v>
      </c>
      <c r="H98" s="40" t="e">
        <f>+D98*0.1/$C$94</f>
        <v>#REF!</v>
      </c>
      <c r="I98" s="41" t="e">
        <f>MAX(G98-$A$3,0)*1.2</f>
        <v>#REF!</v>
      </c>
      <c r="J98" s="193" t="e">
        <f>+D98/$F$94</f>
        <v>#REF!</v>
      </c>
      <c r="K98" s="194" t="e">
        <f>+J98*$D$142</f>
        <v>#REF!</v>
      </c>
      <c r="L98" s="40" t="e">
        <f>+D98*0.1/G98</f>
        <v>#REF!</v>
      </c>
      <c r="M98" s="170" t="e">
        <f>800*K98/G98</f>
        <v>#REF!</v>
      </c>
      <c r="AB98" s="78"/>
    </row>
    <row r="99" spans="1:28">
      <c r="A99" s="85" t="s">
        <v>231</v>
      </c>
      <c r="B99" s="20" t="e">
        <f>+$B$97/$L$37*L40</f>
        <v>#REF!</v>
      </c>
      <c r="C99" s="37" t="e">
        <f>+$F$94*B99</f>
        <v>#REF!</v>
      </c>
      <c r="D99" s="37" t="e">
        <f>+$C$97-C99</f>
        <v>#REF!</v>
      </c>
      <c r="E99" s="19" t="e">
        <f>+D99/$C$97</f>
        <v>#REF!</v>
      </c>
      <c r="F99" s="18">
        <v>5</v>
      </c>
      <c r="G99" s="37" t="e">
        <f>+F99*$E$94</f>
        <v>#REF!</v>
      </c>
      <c r="H99" s="40" t="e">
        <f>+D99*0.1/$C$94</f>
        <v>#REF!</v>
      </c>
      <c r="I99" s="41" t="e">
        <f>MAX(G99-$A$3,0)*1.2</f>
        <v>#REF!</v>
      </c>
      <c r="J99" s="54" t="e">
        <f>+D99/$F$94</f>
        <v>#REF!</v>
      </c>
      <c r="K99" s="194" t="e">
        <f>+J99*$D$142</f>
        <v>#REF!</v>
      </c>
      <c r="L99" s="40" t="e">
        <f>+D99*0.1/G99</f>
        <v>#REF!</v>
      </c>
      <c r="M99" s="170" t="e">
        <f>800*K99/G99</f>
        <v>#REF!</v>
      </c>
      <c r="X99" s="77"/>
      <c r="AB99" s="78"/>
    </row>
    <row r="100" spans="1:28">
      <c r="A100" s="86" t="s">
        <v>232</v>
      </c>
      <c r="B100" s="89" t="e">
        <f>+$B$97/$L$37*L41</f>
        <v>#REF!</v>
      </c>
      <c r="C100" s="142" t="e">
        <f>+$F$94*B100</f>
        <v>#REF!</v>
      </c>
      <c r="D100" s="142" t="e">
        <f>+$C$97-C100</f>
        <v>#REF!</v>
      </c>
      <c r="E100" s="88" t="e">
        <f>+D100/$C$97</f>
        <v>#REF!</v>
      </c>
      <c r="F100" s="87">
        <v>10</v>
      </c>
      <c r="G100" s="142" t="e">
        <f>+F100*$E$94</f>
        <v>#REF!</v>
      </c>
      <c r="H100" s="171" t="e">
        <f>+D100*0.1/$C$94</f>
        <v>#REF!</v>
      </c>
      <c r="I100" s="172" t="e">
        <f>MAX(G100-$A$3,0)*1.2</f>
        <v>#REF!</v>
      </c>
      <c r="J100" s="141" t="e">
        <f>+D100/$F$94</f>
        <v>#REF!</v>
      </c>
      <c r="K100" s="195" t="e">
        <f>+J100*$D$142</f>
        <v>#REF!</v>
      </c>
      <c r="L100" s="171" t="e">
        <f>+D100*0.1/G100</f>
        <v>#REF!</v>
      </c>
      <c r="M100" s="174" t="e">
        <f>800*K100/G100</f>
        <v>#REF!</v>
      </c>
    </row>
    <row r="101" spans="1:28">
      <c r="J101" s="16"/>
    </row>
    <row r="102" spans="1:28">
      <c r="A102" s="55" t="s">
        <v>233</v>
      </c>
      <c r="D102" s="18" t="s">
        <v>234</v>
      </c>
      <c r="E102" s="18" t="s">
        <v>235</v>
      </c>
      <c r="H102" s="39"/>
      <c r="I102" s="41"/>
      <c r="J102" s="16"/>
    </row>
    <row r="103" spans="1:28">
      <c r="A103" s="18" t="s">
        <v>236</v>
      </c>
      <c r="C103" s="37" t="e">
        <f>+E94</f>
        <v>#REF!</v>
      </c>
      <c r="D103" s="36">
        <v>0.2</v>
      </c>
      <c r="E103" s="18" t="e">
        <f>ROUND(C103*(1+D103),0)</f>
        <v>#REF!</v>
      </c>
      <c r="I103" s="41"/>
      <c r="J103" s="16"/>
      <c r="K103" s="39"/>
    </row>
    <row r="104" spans="1:28">
      <c r="C104" s="37"/>
      <c r="D104" s="36"/>
      <c r="I104" s="41"/>
      <c r="J104" s="16"/>
      <c r="K104" s="39"/>
    </row>
    <row r="105" spans="1:28" ht="57.6">
      <c r="A105" s="84"/>
      <c r="B105" s="161" t="s">
        <v>237</v>
      </c>
      <c r="C105" s="161" t="s">
        <v>238</v>
      </c>
      <c r="D105" s="161" t="s">
        <v>239</v>
      </c>
      <c r="E105" s="161" t="s">
        <v>240</v>
      </c>
      <c r="F105" s="161" t="s">
        <v>241</v>
      </c>
      <c r="G105" s="161" t="s">
        <v>227</v>
      </c>
      <c r="H105" s="161" t="s">
        <v>242</v>
      </c>
      <c r="I105" s="165" t="s">
        <v>88</v>
      </c>
      <c r="J105" s="16"/>
      <c r="K105" s="39"/>
    </row>
    <row r="106" spans="1:28">
      <c r="A106" s="85" t="s">
        <v>243</v>
      </c>
      <c r="B106" s="16" t="e">
        <f>+$L50/1000*$C$103</f>
        <v>#REF!</v>
      </c>
      <c r="C106" s="37" t="e">
        <f>+B106*$F$94</f>
        <v>#REF!</v>
      </c>
      <c r="D106" s="37"/>
      <c r="F106" s="16"/>
      <c r="H106" s="38"/>
      <c r="I106" s="176"/>
    </row>
    <row r="107" spans="1:28">
      <c r="A107" s="86" t="s">
        <v>244</v>
      </c>
      <c r="B107" s="93" t="e">
        <f>+$L51/1000*$C$103</f>
        <v>#REF!</v>
      </c>
      <c r="C107" s="142" t="e">
        <f>+B107*$F$94</f>
        <v>#REF!</v>
      </c>
      <c r="D107" s="142" t="e">
        <f>+C106-C107</f>
        <v>#REF!</v>
      </c>
      <c r="E107" s="88" t="e">
        <f>+D107/C106</f>
        <v>#REF!</v>
      </c>
      <c r="F107" s="141" t="e">
        <f>+D107/$F$94</f>
        <v>#REF!</v>
      </c>
      <c r="G107" s="196" t="e">
        <f>F107*D142</f>
        <v>#REF!</v>
      </c>
      <c r="H107" s="171" t="e">
        <f>+$D$107*0.1/C103</f>
        <v>#REF!</v>
      </c>
      <c r="I107" s="174" t="e">
        <f>+F107*800*$D$142/C103</f>
        <v>#REF!</v>
      </c>
    </row>
    <row r="108" spans="1:28">
      <c r="B108" s="175"/>
      <c r="J108" s="16"/>
      <c r="U108" s="39"/>
    </row>
    <row r="109" spans="1:28">
      <c r="J109" s="16"/>
    </row>
    <row r="110" spans="1:28">
      <c r="A110" s="55" t="s">
        <v>245</v>
      </c>
      <c r="D110" s="18" t="s">
        <v>234</v>
      </c>
      <c r="E110" s="18" t="s">
        <v>235</v>
      </c>
      <c r="J110" s="16"/>
    </row>
    <row r="111" spans="1:28">
      <c r="A111" s="18" t="s">
        <v>246</v>
      </c>
      <c r="C111" s="18" t="e">
        <f>+E94</f>
        <v>#REF!</v>
      </c>
      <c r="D111" s="36">
        <v>0.2</v>
      </c>
      <c r="E111" s="18" t="e">
        <f>ROUND(C111*(1+D111),0)</f>
        <v>#REF!</v>
      </c>
      <c r="J111" s="16"/>
    </row>
    <row r="112" spans="1:28">
      <c r="J112" s="16"/>
    </row>
    <row r="113" spans="1:11" ht="72">
      <c r="A113" s="177"/>
      <c r="B113" s="161" t="s">
        <v>247</v>
      </c>
      <c r="C113" s="161" t="s">
        <v>248</v>
      </c>
      <c r="D113" s="161" t="s">
        <v>249</v>
      </c>
      <c r="E113" s="161" t="s">
        <v>239</v>
      </c>
      <c r="F113" s="161" t="s">
        <v>240</v>
      </c>
      <c r="G113" s="161" t="s">
        <v>241</v>
      </c>
      <c r="H113" s="161" t="s">
        <v>227</v>
      </c>
      <c r="I113" s="161" t="s">
        <v>242</v>
      </c>
      <c r="J113" s="165" t="s">
        <v>88</v>
      </c>
    </row>
    <row r="114" spans="1:11">
      <c r="A114" s="85" t="s">
        <v>250</v>
      </c>
      <c r="B114" s="20" t="e">
        <f>+$C$111*$L$52</f>
        <v>#REF!</v>
      </c>
      <c r="C114" s="35" t="e">
        <f>+B114/100*$A$15</f>
        <v>#REF!</v>
      </c>
      <c r="D114" s="37" t="e">
        <f>+C114*$F$94</f>
        <v>#REF!</v>
      </c>
      <c r="J114" s="82"/>
    </row>
    <row r="115" spans="1:11">
      <c r="A115" s="86" t="s">
        <v>251</v>
      </c>
      <c r="B115" s="89" t="e">
        <f>+$C$111*$L$52*(1-$L$53)</f>
        <v>#REF!</v>
      </c>
      <c r="C115" s="140" t="e">
        <f>+B115/100*$A$15</f>
        <v>#REF!</v>
      </c>
      <c r="D115" s="142" t="e">
        <f>+C115*$F$94</f>
        <v>#REF!</v>
      </c>
      <c r="E115" s="172" t="e">
        <f>+D114-D115</f>
        <v>#REF!</v>
      </c>
      <c r="F115" s="88" t="e">
        <f>+E115/D114</f>
        <v>#REF!</v>
      </c>
      <c r="G115" s="141" t="e">
        <f>+E115/$F$94</f>
        <v>#REF!</v>
      </c>
      <c r="H115" s="196" t="e">
        <f>G115*D142</f>
        <v>#REF!</v>
      </c>
      <c r="I115" s="171" t="e">
        <f>+E115*0.1/$C$111</f>
        <v>#REF!</v>
      </c>
      <c r="J115" s="174" t="e">
        <f>+G115*800*$D$142/C111</f>
        <v>#REF!</v>
      </c>
    </row>
    <row r="116" spans="1:11">
      <c r="K116" s="39"/>
    </row>
    <row r="117" spans="1:11">
      <c r="K117" s="52"/>
    </row>
    <row r="118" spans="1:11">
      <c r="A118" s="178" t="s">
        <v>252</v>
      </c>
    </row>
    <row r="119" spans="1:11">
      <c r="A119" s="346" t="s">
        <v>253</v>
      </c>
      <c r="B119" s="346"/>
      <c r="C119" s="43">
        <v>1.410142857142857E-2</v>
      </c>
    </row>
    <row r="120" spans="1:11">
      <c r="A120" s="346" t="s">
        <v>254</v>
      </c>
      <c r="B120" s="346"/>
      <c r="C120" s="43">
        <v>6.6219104308390007E-3</v>
      </c>
    </row>
    <row r="121" spans="1:11">
      <c r="A121" s="346" t="s">
        <v>255</v>
      </c>
      <c r="B121" s="346"/>
      <c r="C121" s="43">
        <v>6.0000000000000001E-3</v>
      </c>
    </row>
    <row r="122" spans="1:11">
      <c r="A122" s="42"/>
      <c r="B122" s="42"/>
      <c r="C122" s="43"/>
    </row>
    <row r="123" spans="1:11">
      <c r="A123" s="18" t="s">
        <v>256</v>
      </c>
      <c r="C123" s="22">
        <v>4</v>
      </c>
    </row>
    <row r="124" spans="1:11">
      <c r="A124" s="18" t="s">
        <v>257</v>
      </c>
      <c r="C124" s="44">
        <v>420</v>
      </c>
    </row>
    <row r="125" spans="1:11">
      <c r="A125" s="18" t="s">
        <v>258</v>
      </c>
      <c r="B125" s="42"/>
      <c r="C125" s="44">
        <v>328.59228571428582</v>
      </c>
    </row>
    <row r="126" spans="1:11">
      <c r="A126" s="18" t="s">
        <v>259</v>
      </c>
      <c r="B126" s="42"/>
      <c r="C126" s="45">
        <f>+C124-C125</f>
        <v>91.407714285714178</v>
      </c>
    </row>
    <row r="127" spans="1:11">
      <c r="A127" s="18" t="s">
        <v>260</v>
      </c>
      <c r="B127" s="42"/>
      <c r="C127" s="46">
        <f>+C126/C124</f>
        <v>0.21763741496598613</v>
      </c>
    </row>
    <row r="129" spans="1:12" ht="43.2">
      <c r="A129" s="177" t="s">
        <v>123</v>
      </c>
      <c r="B129" s="161" t="s">
        <v>261</v>
      </c>
      <c r="C129" s="161" t="s">
        <v>262</v>
      </c>
      <c r="D129" s="161" t="s">
        <v>263</v>
      </c>
      <c r="E129" s="161" t="s">
        <v>264</v>
      </c>
      <c r="F129" s="161" t="s">
        <v>265</v>
      </c>
      <c r="G129" s="161" t="s">
        <v>266</v>
      </c>
      <c r="H129" s="161" t="s">
        <v>267</v>
      </c>
      <c r="I129" s="161" t="s">
        <v>268</v>
      </c>
      <c r="J129" s="161" t="s">
        <v>269</v>
      </c>
      <c r="K129" s="161" t="s">
        <v>270</v>
      </c>
      <c r="L129" s="165" t="s">
        <v>271</v>
      </c>
    </row>
    <row r="130" spans="1:12">
      <c r="A130" s="182">
        <v>0</v>
      </c>
      <c r="B130" s="21">
        <v>0.27</v>
      </c>
      <c r="C130" s="21">
        <v>0.27</v>
      </c>
      <c r="D130" s="21">
        <v>0.27</v>
      </c>
      <c r="E130" s="21">
        <v>0.27</v>
      </c>
      <c r="F130" s="21">
        <v>0.27</v>
      </c>
      <c r="G130" s="21">
        <v>0.27</v>
      </c>
      <c r="H130" s="21">
        <v>0.71</v>
      </c>
      <c r="I130" s="21">
        <v>0.26</v>
      </c>
      <c r="J130" s="21">
        <v>0.25</v>
      </c>
      <c r="K130" s="21">
        <v>0.12</v>
      </c>
      <c r="L130" s="179">
        <v>0</v>
      </c>
    </row>
    <row r="131" spans="1:12">
      <c r="A131" s="182">
        <v>0.1</v>
      </c>
      <c r="B131" s="21">
        <v>0.32</v>
      </c>
      <c r="C131" s="21">
        <v>0.33</v>
      </c>
      <c r="D131" s="21">
        <v>0.34</v>
      </c>
      <c r="E131" s="21">
        <v>0.34</v>
      </c>
      <c r="F131" s="21">
        <v>0.34</v>
      </c>
      <c r="G131" s="21">
        <v>0.34</v>
      </c>
      <c r="H131" s="21">
        <v>0.74</v>
      </c>
      <c r="I131" s="21">
        <v>0.4</v>
      </c>
      <c r="J131" s="21">
        <v>0.34</v>
      </c>
      <c r="K131" s="21">
        <v>0.2</v>
      </c>
      <c r="L131" s="179">
        <v>0.12</v>
      </c>
    </row>
    <row r="132" spans="1:12">
      <c r="A132" s="182">
        <v>0.2</v>
      </c>
      <c r="B132" s="21">
        <v>0.63</v>
      </c>
      <c r="C132" s="21">
        <v>0.61</v>
      </c>
      <c r="D132" s="21">
        <v>0.54</v>
      </c>
      <c r="E132" s="21">
        <v>0.45</v>
      </c>
      <c r="F132" s="21">
        <v>0.42</v>
      </c>
      <c r="G132" s="21">
        <v>0.42</v>
      </c>
      <c r="H132" s="21">
        <v>0.76</v>
      </c>
      <c r="I132" s="21">
        <v>0.54</v>
      </c>
      <c r="J132" s="21">
        <v>0.44</v>
      </c>
      <c r="K132" s="21">
        <v>0.28000000000000003</v>
      </c>
      <c r="L132" s="179">
        <v>0.24</v>
      </c>
    </row>
    <row r="133" spans="1:12">
      <c r="A133" s="182">
        <v>0.3</v>
      </c>
      <c r="B133" s="21">
        <v>0.74</v>
      </c>
      <c r="C133" s="21">
        <v>0.72</v>
      </c>
      <c r="D133" s="21">
        <v>0.64</v>
      </c>
      <c r="E133" s="21">
        <v>0.55000000000000004</v>
      </c>
      <c r="F133" s="21">
        <v>0.52</v>
      </c>
      <c r="G133" s="21">
        <v>0.49</v>
      </c>
      <c r="H133" s="21">
        <v>0.79</v>
      </c>
      <c r="I133" s="21">
        <v>0.62</v>
      </c>
      <c r="J133" s="21">
        <v>0.52</v>
      </c>
      <c r="K133" s="21">
        <v>0.36</v>
      </c>
      <c r="L133" s="179">
        <v>0.33</v>
      </c>
    </row>
    <row r="134" spans="1:12">
      <c r="A134" s="182">
        <v>0.4</v>
      </c>
      <c r="B134" s="21">
        <v>0.81</v>
      </c>
      <c r="C134" s="21">
        <v>0.79</v>
      </c>
      <c r="D134" s="21">
        <v>0.73</v>
      </c>
      <c r="E134" s="21">
        <v>0.64</v>
      </c>
      <c r="F134" s="21">
        <v>0.6</v>
      </c>
      <c r="G134" s="21">
        <v>0.56000000000000005</v>
      </c>
      <c r="H134" s="21">
        <v>0.82</v>
      </c>
      <c r="I134" s="21">
        <v>0.82</v>
      </c>
      <c r="J134" s="21">
        <v>0.61</v>
      </c>
      <c r="K134" s="21">
        <v>0.45</v>
      </c>
      <c r="L134" s="179">
        <v>0.41</v>
      </c>
    </row>
    <row r="135" spans="1:12">
      <c r="A135" s="182">
        <v>0.5</v>
      </c>
      <c r="B135" s="21">
        <v>0.87</v>
      </c>
      <c r="C135" s="21">
        <v>0.85</v>
      </c>
      <c r="D135" s="21">
        <v>0.79</v>
      </c>
      <c r="E135" s="21">
        <v>0.71</v>
      </c>
      <c r="F135" s="21">
        <v>0.68</v>
      </c>
      <c r="G135" s="21">
        <v>0.64</v>
      </c>
      <c r="H135" s="21">
        <v>0.86</v>
      </c>
      <c r="I135" s="21">
        <v>0.86</v>
      </c>
      <c r="J135" s="21">
        <v>0.63</v>
      </c>
      <c r="K135" s="21">
        <v>0.53</v>
      </c>
      <c r="L135" s="179">
        <v>0.53</v>
      </c>
    </row>
    <row r="136" spans="1:12">
      <c r="A136" s="182">
        <v>0.6</v>
      </c>
      <c r="B136" s="21">
        <v>0.92</v>
      </c>
      <c r="C136" s="21">
        <v>0.9</v>
      </c>
      <c r="D136" s="21">
        <v>0.85</v>
      </c>
      <c r="E136" s="21">
        <v>0.78</v>
      </c>
      <c r="F136" s="21">
        <v>0.76</v>
      </c>
      <c r="G136" s="21">
        <v>0.71</v>
      </c>
      <c r="H136" s="21">
        <v>0.88</v>
      </c>
      <c r="I136" s="21">
        <v>0.88</v>
      </c>
      <c r="J136" s="21">
        <v>0.69</v>
      </c>
      <c r="K136" s="21">
        <v>0.6</v>
      </c>
      <c r="L136" s="179">
        <v>0.6</v>
      </c>
    </row>
    <row r="137" spans="1:12">
      <c r="A137" s="182">
        <v>0.7</v>
      </c>
      <c r="B137" s="21">
        <v>0.95</v>
      </c>
      <c r="C137" s="21">
        <v>0.94</v>
      </c>
      <c r="D137" s="21">
        <v>0.9</v>
      </c>
      <c r="E137" s="21">
        <v>0.85</v>
      </c>
      <c r="F137" s="21">
        <v>0.83</v>
      </c>
      <c r="G137" s="21">
        <v>0.78</v>
      </c>
      <c r="H137" s="21">
        <v>0.92</v>
      </c>
      <c r="I137" s="21">
        <v>0.92</v>
      </c>
      <c r="J137" s="21">
        <v>0.77</v>
      </c>
      <c r="K137" s="21">
        <v>0.71</v>
      </c>
      <c r="L137" s="179">
        <v>0.71</v>
      </c>
    </row>
    <row r="138" spans="1:12">
      <c r="A138" s="182">
        <v>0.8</v>
      </c>
      <c r="B138" s="21">
        <v>0.98</v>
      </c>
      <c r="C138" s="21">
        <v>0.97</v>
      </c>
      <c r="D138" s="21">
        <v>0.94</v>
      </c>
      <c r="E138" s="21">
        <v>0.91</v>
      </c>
      <c r="F138" s="21">
        <v>0.89</v>
      </c>
      <c r="G138" s="21">
        <v>0.85</v>
      </c>
      <c r="H138" s="21">
        <v>0.94</v>
      </c>
      <c r="I138" s="21">
        <v>0.94</v>
      </c>
      <c r="J138" s="21">
        <v>0.85</v>
      </c>
      <c r="K138" s="21">
        <v>0.8</v>
      </c>
      <c r="L138" s="179">
        <v>0.8</v>
      </c>
    </row>
    <row r="139" spans="1:12">
      <c r="A139" s="182">
        <v>0.9</v>
      </c>
      <c r="B139" s="21">
        <v>1</v>
      </c>
      <c r="C139" s="21">
        <v>1</v>
      </c>
      <c r="D139" s="21">
        <v>0.98</v>
      </c>
      <c r="E139" s="21">
        <v>0.97</v>
      </c>
      <c r="F139" s="21">
        <v>0.96</v>
      </c>
      <c r="G139" s="21">
        <v>0.93</v>
      </c>
      <c r="H139" s="21">
        <v>0.97</v>
      </c>
      <c r="I139" s="21">
        <v>0.97</v>
      </c>
      <c r="J139" s="21">
        <v>0.91</v>
      </c>
      <c r="K139" s="21">
        <v>0.89</v>
      </c>
      <c r="L139" s="179">
        <v>0.89</v>
      </c>
    </row>
    <row r="140" spans="1:12">
      <c r="A140" s="183">
        <v>1</v>
      </c>
      <c r="B140" s="180">
        <v>1</v>
      </c>
      <c r="C140" s="180">
        <v>1</v>
      </c>
      <c r="D140" s="180">
        <v>1</v>
      </c>
      <c r="E140" s="180">
        <v>1</v>
      </c>
      <c r="F140" s="180">
        <v>1</v>
      </c>
      <c r="G140" s="180">
        <v>1</v>
      </c>
      <c r="H140" s="180">
        <v>1</v>
      </c>
      <c r="I140" s="180">
        <v>1</v>
      </c>
      <c r="J140" s="180">
        <v>1</v>
      </c>
      <c r="K140" s="180">
        <v>1</v>
      </c>
      <c r="L140" s="181">
        <v>1</v>
      </c>
    </row>
    <row r="142" spans="1:12">
      <c r="A142" s="18" t="s">
        <v>272</v>
      </c>
      <c r="D142" s="35">
        <f>+D144/D143</f>
        <v>1.1316440695719483</v>
      </c>
      <c r="E142" s="18" t="s">
        <v>273</v>
      </c>
      <c r="H142" s="18" t="s">
        <v>274</v>
      </c>
    </row>
    <row r="143" spans="1:12">
      <c r="A143" s="18" t="s">
        <v>254</v>
      </c>
      <c r="C143" s="47">
        <v>5364.5047619047646</v>
      </c>
      <c r="D143" s="47">
        <v>60.960281385281391</v>
      </c>
      <c r="E143" s="47">
        <v>65.208333333333329</v>
      </c>
      <c r="F143" s="47">
        <v>22.791666666666668</v>
      </c>
    </row>
    <row r="144" spans="1:12">
      <c r="A144" s="18" t="s">
        <v>275</v>
      </c>
      <c r="C144" s="47">
        <v>6070.71</v>
      </c>
      <c r="D144" s="47">
        <v>68.985340909090922</v>
      </c>
      <c r="E144" s="47">
        <v>72.533333333333331</v>
      </c>
      <c r="F144" s="47">
        <v>15.466666666666667</v>
      </c>
      <c r="H144" s="18">
        <v>122.88636363636364</v>
      </c>
      <c r="I144" s="18" t="s">
        <v>276</v>
      </c>
    </row>
    <row r="145" spans="1:7">
      <c r="C145" s="47"/>
      <c r="D145" s="47"/>
      <c r="E145" s="47"/>
      <c r="F145" s="47"/>
    </row>
    <row r="146" spans="1:7" s="184" customFormat="1" ht="43.2">
      <c r="A146" s="185" t="s">
        <v>277</v>
      </c>
      <c r="B146" s="161" t="s">
        <v>278</v>
      </c>
      <c r="C146" s="186" t="s">
        <v>279</v>
      </c>
      <c r="D146" s="187" t="s">
        <v>280</v>
      </c>
      <c r="E146" s="188" t="s">
        <v>281</v>
      </c>
      <c r="F146" s="188" t="s">
        <v>282</v>
      </c>
      <c r="G146" s="165" t="s">
        <v>283</v>
      </c>
    </row>
    <row r="147" spans="1:7">
      <c r="A147" s="189">
        <v>0</v>
      </c>
      <c r="B147" s="96">
        <v>1</v>
      </c>
      <c r="C147" s="109">
        <v>3216.900000000001</v>
      </c>
      <c r="D147" s="157">
        <v>36.555681818181831</v>
      </c>
      <c r="E147" s="153">
        <v>49</v>
      </c>
      <c r="F147" s="153">
        <v>39</v>
      </c>
      <c r="G147" s="190">
        <v>30</v>
      </c>
    </row>
    <row r="148" spans="1:7">
      <c r="A148" s="189">
        <v>1</v>
      </c>
      <c r="B148" s="96">
        <v>2</v>
      </c>
      <c r="C148" s="109">
        <v>3183.3999999999992</v>
      </c>
      <c r="D148" s="157">
        <v>36.17499999999999</v>
      </c>
      <c r="E148" s="153">
        <v>48</v>
      </c>
      <c r="F148" s="153">
        <v>40</v>
      </c>
      <c r="G148" s="190">
        <v>30</v>
      </c>
    </row>
    <row r="149" spans="1:7">
      <c r="A149" s="189">
        <v>2</v>
      </c>
      <c r="B149" s="96">
        <v>3</v>
      </c>
      <c r="C149" s="109">
        <v>3197.2999999999997</v>
      </c>
      <c r="D149" s="157">
        <v>36.332954545454541</v>
      </c>
      <c r="E149" s="153">
        <v>49</v>
      </c>
      <c r="F149" s="153">
        <v>39</v>
      </c>
      <c r="G149" s="190">
        <v>60</v>
      </c>
    </row>
    <row r="150" spans="1:7">
      <c r="A150" s="189">
        <v>3</v>
      </c>
      <c r="B150" s="96">
        <v>4</v>
      </c>
      <c r="C150" s="109">
        <v>3276.3999999999992</v>
      </c>
      <c r="D150" s="157">
        <v>37.23181818181817</v>
      </c>
      <c r="E150" s="153">
        <v>48</v>
      </c>
      <c r="F150" s="153">
        <v>40</v>
      </c>
      <c r="G150" s="190">
        <v>200</v>
      </c>
    </row>
    <row r="151" spans="1:7">
      <c r="A151" s="189">
        <v>4</v>
      </c>
      <c r="B151" s="96">
        <v>5</v>
      </c>
      <c r="C151" s="109">
        <v>3244.6999999999994</v>
      </c>
      <c r="D151" s="157">
        <v>36.871590909090905</v>
      </c>
      <c r="E151" s="153">
        <v>49</v>
      </c>
      <c r="F151" s="153">
        <v>39</v>
      </c>
      <c r="G151" s="190">
        <v>300</v>
      </c>
    </row>
    <row r="152" spans="1:7">
      <c r="A152" s="189">
        <v>5</v>
      </c>
      <c r="B152" s="96">
        <v>6</v>
      </c>
      <c r="C152" s="109">
        <v>3454.1</v>
      </c>
      <c r="D152" s="157">
        <v>39.251136363636363</v>
      </c>
      <c r="E152" s="153">
        <v>50</v>
      </c>
      <c r="F152" s="153">
        <v>38</v>
      </c>
      <c r="G152" s="190">
        <v>200</v>
      </c>
    </row>
    <row r="153" spans="1:7">
      <c r="A153" s="189">
        <v>6</v>
      </c>
      <c r="B153" s="96">
        <v>7</v>
      </c>
      <c r="C153" s="109">
        <v>3232.7999999999993</v>
      </c>
      <c r="D153" s="157">
        <v>36.736363636363627</v>
      </c>
      <c r="E153" s="153">
        <v>46</v>
      </c>
      <c r="F153" s="153">
        <v>42</v>
      </c>
      <c r="G153" s="190">
        <v>300</v>
      </c>
    </row>
    <row r="154" spans="1:7">
      <c r="A154" s="189">
        <v>7</v>
      </c>
      <c r="B154" s="96">
        <v>8</v>
      </c>
      <c r="C154" s="109">
        <v>2968.1</v>
      </c>
      <c r="D154" s="157">
        <v>33.728409090909089</v>
      </c>
      <c r="E154" s="153">
        <v>46</v>
      </c>
      <c r="F154" s="153">
        <v>42</v>
      </c>
      <c r="G154" s="190">
        <v>300</v>
      </c>
    </row>
    <row r="155" spans="1:7">
      <c r="A155" s="189">
        <v>8</v>
      </c>
      <c r="B155" s="96">
        <v>9</v>
      </c>
      <c r="C155" s="109">
        <v>3129.3999999999996</v>
      </c>
      <c r="D155" s="157">
        <v>35.56136363636363</v>
      </c>
      <c r="E155" s="153">
        <v>45</v>
      </c>
      <c r="F155" s="153">
        <v>43</v>
      </c>
      <c r="G155" s="190">
        <v>370</v>
      </c>
    </row>
    <row r="156" spans="1:7">
      <c r="A156" s="189">
        <v>9</v>
      </c>
      <c r="B156" s="96">
        <v>10</v>
      </c>
      <c r="C156" s="109">
        <v>2990.6000000000008</v>
      </c>
      <c r="D156" s="157">
        <v>33.984090909090916</v>
      </c>
      <c r="E156" s="153">
        <v>44</v>
      </c>
      <c r="F156" s="153">
        <v>44</v>
      </c>
      <c r="G156" s="190">
        <v>300</v>
      </c>
    </row>
    <row r="157" spans="1:7">
      <c r="A157" s="189">
        <v>10</v>
      </c>
      <c r="B157" s="96">
        <v>11</v>
      </c>
      <c r="C157" s="109">
        <v>2904.3999999999996</v>
      </c>
      <c r="D157" s="157">
        <v>33.00454545454545</v>
      </c>
      <c r="E157" s="153">
        <v>43</v>
      </c>
      <c r="F157" s="153">
        <v>45</v>
      </c>
      <c r="G157" s="190">
        <v>500</v>
      </c>
    </row>
    <row r="158" spans="1:7">
      <c r="A158" s="189">
        <v>11</v>
      </c>
      <c r="B158" s="96">
        <v>12</v>
      </c>
      <c r="C158" s="109">
        <v>2987.6</v>
      </c>
      <c r="D158" s="157">
        <v>33.949999999999996</v>
      </c>
      <c r="E158" s="153">
        <v>45</v>
      </c>
      <c r="F158" s="153">
        <v>43</v>
      </c>
      <c r="G158" s="190">
        <v>350</v>
      </c>
    </row>
    <row r="159" spans="1:7">
      <c r="A159" s="189">
        <v>12</v>
      </c>
      <c r="B159" s="96">
        <v>13</v>
      </c>
      <c r="C159" s="109">
        <v>3195.5000000000009</v>
      </c>
      <c r="D159" s="157">
        <v>36.312500000000007</v>
      </c>
      <c r="E159" s="153">
        <v>48</v>
      </c>
      <c r="F159" s="153">
        <v>40</v>
      </c>
      <c r="G159" s="190">
        <v>20</v>
      </c>
    </row>
    <row r="160" spans="1:7">
      <c r="A160" s="189">
        <v>13</v>
      </c>
      <c r="B160" s="96">
        <v>14</v>
      </c>
      <c r="C160" s="109">
        <v>3375.2000000000003</v>
      </c>
      <c r="D160" s="157">
        <v>38.354545454545459</v>
      </c>
      <c r="E160" s="153">
        <v>51</v>
      </c>
      <c r="F160" s="153">
        <v>37</v>
      </c>
      <c r="G160" s="190">
        <v>20</v>
      </c>
    </row>
    <row r="161" spans="1:7">
      <c r="A161" s="189">
        <v>14</v>
      </c>
      <c r="B161" s="96">
        <v>15</v>
      </c>
      <c r="C161" s="109">
        <v>3326.4999999999995</v>
      </c>
      <c r="D161" s="157">
        <v>37.80113636363636</v>
      </c>
      <c r="E161" s="153">
        <v>51</v>
      </c>
      <c r="F161" s="153">
        <v>37</v>
      </c>
      <c r="G161" s="190">
        <v>30</v>
      </c>
    </row>
    <row r="162" spans="1:7">
      <c r="A162" s="189">
        <v>15</v>
      </c>
      <c r="B162" s="96">
        <v>16</v>
      </c>
      <c r="C162" s="109">
        <v>3482.1000000000004</v>
      </c>
      <c r="D162" s="157">
        <v>39.569318181818183</v>
      </c>
      <c r="E162" s="153">
        <v>50</v>
      </c>
      <c r="F162" s="153">
        <v>38</v>
      </c>
      <c r="G162" s="190">
        <v>30</v>
      </c>
    </row>
    <row r="163" spans="1:7">
      <c r="A163" s="189">
        <v>16</v>
      </c>
      <c r="B163" s="96">
        <v>17</v>
      </c>
      <c r="C163" s="109">
        <v>3821.6999999999994</v>
      </c>
      <c r="D163" s="157">
        <v>43.428409090909085</v>
      </c>
      <c r="E163" s="153">
        <v>53</v>
      </c>
      <c r="F163" s="153">
        <v>35</v>
      </c>
      <c r="G163" s="190">
        <v>30</v>
      </c>
    </row>
    <row r="164" spans="1:7">
      <c r="A164" s="189">
        <v>17</v>
      </c>
      <c r="B164" s="96">
        <v>18</v>
      </c>
      <c r="C164" s="109">
        <v>3943.8</v>
      </c>
      <c r="D164" s="157">
        <v>44.815909090909095</v>
      </c>
      <c r="E164" s="153">
        <v>53</v>
      </c>
      <c r="F164" s="153">
        <v>35</v>
      </c>
      <c r="G164" s="190">
        <v>30</v>
      </c>
    </row>
    <row r="165" spans="1:7">
      <c r="A165" s="189">
        <v>18</v>
      </c>
      <c r="B165" s="96">
        <v>19</v>
      </c>
      <c r="C165" s="109">
        <v>3856.1000000000004</v>
      </c>
      <c r="D165" s="157">
        <v>43.819318181818183</v>
      </c>
      <c r="E165" s="153">
        <v>53</v>
      </c>
      <c r="F165" s="153">
        <v>35</v>
      </c>
      <c r="G165" s="190">
        <v>30</v>
      </c>
    </row>
    <row r="166" spans="1:7">
      <c r="A166" s="189">
        <v>19</v>
      </c>
      <c r="B166" s="96">
        <v>20</v>
      </c>
      <c r="C166" s="109">
        <v>3861.1999999999994</v>
      </c>
      <c r="D166" s="157">
        <v>43.877272727272718</v>
      </c>
      <c r="E166" s="153">
        <v>56</v>
      </c>
      <c r="F166" s="153">
        <v>32</v>
      </c>
      <c r="G166" s="190">
        <v>50</v>
      </c>
    </row>
    <row r="167" spans="1:7">
      <c r="A167" s="189">
        <v>20</v>
      </c>
      <c r="B167" s="96">
        <v>21</v>
      </c>
      <c r="C167" s="109">
        <v>4011.9999999999991</v>
      </c>
      <c r="D167" s="157">
        <v>45.590909090909079</v>
      </c>
      <c r="E167" s="153">
        <v>57</v>
      </c>
      <c r="F167" s="153">
        <v>31</v>
      </c>
      <c r="G167" s="190">
        <v>50</v>
      </c>
    </row>
    <row r="168" spans="1:7">
      <c r="A168" s="189">
        <v>21</v>
      </c>
      <c r="B168" s="96">
        <v>22</v>
      </c>
      <c r="C168" s="109">
        <v>4114.7999999999993</v>
      </c>
      <c r="D168" s="157">
        <v>46.759090909090901</v>
      </c>
      <c r="E168" s="153">
        <v>59</v>
      </c>
      <c r="F168" s="153">
        <v>29</v>
      </c>
      <c r="G168" s="190">
        <v>60</v>
      </c>
    </row>
    <row r="169" spans="1:7">
      <c r="A169" s="189">
        <v>22</v>
      </c>
      <c r="B169" s="96">
        <v>23</v>
      </c>
      <c r="C169" s="109">
        <v>4765.6000000000013</v>
      </c>
      <c r="D169" s="157">
        <v>54.15454545454547</v>
      </c>
      <c r="E169" s="153">
        <v>63</v>
      </c>
      <c r="F169" s="153">
        <v>25</v>
      </c>
      <c r="G169" s="190">
        <v>60</v>
      </c>
    </row>
    <row r="170" spans="1:7">
      <c r="A170" s="189">
        <v>23</v>
      </c>
      <c r="B170" s="96">
        <v>24</v>
      </c>
      <c r="C170" s="109">
        <v>5053.2999999999993</v>
      </c>
      <c r="D170" s="157">
        <v>57.423863636363627</v>
      </c>
      <c r="E170" s="153">
        <v>63</v>
      </c>
      <c r="F170" s="153">
        <v>25</v>
      </c>
      <c r="G170" s="190">
        <v>75</v>
      </c>
    </row>
    <row r="171" spans="1:7">
      <c r="A171" s="189">
        <v>0</v>
      </c>
      <c r="B171" s="96">
        <v>25</v>
      </c>
      <c r="C171" s="109">
        <v>4834.0999999999985</v>
      </c>
      <c r="D171" s="157">
        <v>54.932954545454528</v>
      </c>
      <c r="E171" s="153">
        <v>60</v>
      </c>
      <c r="F171" s="153">
        <v>28</v>
      </c>
      <c r="G171" s="190">
        <v>75</v>
      </c>
    </row>
    <row r="172" spans="1:7">
      <c r="A172" s="189">
        <v>1</v>
      </c>
      <c r="B172" s="96">
        <v>26</v>
      </c>
      <c r="C172" s="109">
        <v>4734.5999999999995</v>
      </c>
      <c r="D172" s="157">
        <v>53.802272727272722</v>
      </c>
      <c r="E172" s="153">
        <v>60</v>
      </c>
      <c r="F172" s="153">
        <v>28</v>
      </c>
      <c r="G172" s="190">
        <v>75</v>
      </c>
    </row>
    <row r="173" spans="1:7">
      <c r="A173" s="189">
        <v>2</v>
      </c>
      <c r="B173" s="96">
        <v>27</v>
      </c>
      <c r="C173" s="109">
        <v>5523.7999999999993</v>
      </c>
      <c r="D173" s="157">
        <v>62.770454545454534</v>
      </c>
      <c r="E173" s="153">
        <v>62</v>
      </c>
      <c r="F173" s="153">
        <v>26</v>
      </c>
      <c r="G173" s="190">
        <v>75</v>
      </c>
    </row>
    <row r="174" spans="1:7">
      <c r="A174" s="189">
        <v>3</v>
      </c>
      <c r="B174" s="96">
        <v>28</v>
      </c>
      <c r="C174" s="109">
        <v>4870.7000000000007</v>
      </c>
      <c r="D174" s="157">
        <v>55.348863636363646</v>
      </c>
      <c r="E174" s="153">
        <v>60</v>
      </c>
      <c r="F174" s="153">
        <v>28</v>
      </c>
      <c r="G174" s="190">
        <v>100</v>
      </c>
    </row>
    <row r="175" spans="1:7">
      <c r="A175" s="189">
        <v>4</v>
      </c>
      <c r="B175" s="96">
        <v>29</v>
      </c>
      <c r="C175" s="109">
        <v>5098.1999999999989</v>
      </c>
      <c r="D175" s="157">
        <v>57.934090909090898</v>
      </c>
      <c r="E175" s="153">
        <v>61</v>
      </c>
      <c r="F175" s="153">
        <v>27</v>
      </c>
      <c r="G175" s="190">
        <v>100</v>
      </c>
    </row>
    <row r="176" spans="1:7">
      <c r="A176" s="189">
        <v>5</v>
      </c>
      <c r="B176" s="96">
        <v>30</v>
      </c>
      <c r="C176" s="109">
        <v>6390.5</v>
      </c>
      <c r="D176" s="157">
        <v>72.619318181818187</v>
      </c>
      <c r="E176" s="153">
        <v>72</v>
      </c>
      <c r="F176" s="153">
        <v>16</v>
      </c>
      <c r="G176" s="190">
        <v>125</v>
      </c>
    </row>
    <row r="177" spans="1:7">
      <c r="A177" s="189">
        <v>6</v>
      </c>
      <c r="B177" s="96">
        <v>31</v>
      </c>
      <c r="C177" s="109">
        <v>6471.7000000000016</v>
      </c>
      <c r="D177" s="157">
        <v>73.542045454545473</v>
      </c>
      <c r="E177" s="153">
        <v>75</v>
      </c>
      <c r="F177" s="153">
        <v>13</v>
      </c>
      <c r="G177" s="190">
        <v>125</v>
      </c>
    </row>
    <row r="178" spans="1:7">
      <c r="A178" s="189">
        <v>7</v>
      </c>
      <c r="B178" s="96">
        <v>32</v>
      </c>
      <c r="C178" s="109">
        <v>6774.1</v>
      </c>
      <c r="D178" s="157">
        <v>76.978409090909096</v>
      </c>
      <c r="E178" s="153">
        <v>80</v>
      </c>
      <c r="F178" s="153">
        <v>8</v>
      </c>
      <c r="G178" s="190">
        <v>125</v>
      </c>
    </row>
    <row r="179" spans="1:7">
      <c r="A179" s="189">
        <v>8</v>
      </c>
      <c r="B179" s="96">
        <v>33</v>
      </c>
      <c r="C179" s="109">
        <v>6711.5000000000018</v>
      </c>
      <c r="D179" s="157">
        <v>76.267045454545482</v>
      </c>
      <c r="E179" s="153">
        <v>79</v>
      </c>
      <c r="F179" s="153">
        <v>9</v>
      </c>
      <c r="G179" s="190">
        <v>75</v>
      </c>
    </row>
    <row r="180" spans="1:7">
      <c r="A180" s="189">
        <v>9</v>
      </c>
      <c r="B180" s="96">
        <v>34</v>
      </c>
      <c r="C180" s="109">
        <v>6609.2</v>
      </c>
      <c r="D180" s="157">
        <v>75.104545454545459</v>
      </c>
      <c r="E180" s="153">
        <v>77</v>
      </c>
      <c r="F180" s="153">
        <v>11</v>
      </c>
      <c r="G180" s="190">
        <v>75</v>
      </c>
    </row>
    <row r="181" spans="1:7">
      <c r="A181" s="189">
        <v>10</v>
      </c>
      <c r="B181" s="96">
        <v>35</v>
      </c>
      <c r="C181" s="109">
        <v>6799.2000000000016</v>
      </c>
      <c r="D181" s="157">
        <v>77.26363636363638</v>
      </c>
      <c r="E181" s="153">
        <v>78</v>
      </c>
      <c r="F181" s="153">
        <v>10</v>
      </c>
      <c r="G181" s="190">
        <v>20</v>
      </c>
    </row>
    <row r="182" spans="1:7">
      <c r="A182" s="189">
        <v>11</v>
      </c>
      <c r="B182" s="96">
        <v>36</v>
      </c>
      <c r="C182" s="109">
        <v>6743.4000000000015</v>
      </c>
      <c r="D182" s="157">
        <v>76.629545454545465</v>
      </c>
      <c r="E182" s="153">
        <v>79</v>
      </c>
      <c r="F182" s="153">
        <v>9</v>
      </c>
      <c r="G182" s="190">
        <v>25</v>
      </c>
    </row>
    <row r="183" spans="1:7">
      <c r="A183" s="189">
        <v>12</v>
      </c>
      <c r="B183" s="96">
        <v>37</v>
      </c>
      <c r="C183" s="109">
        <v>6886.5999999999995</v>
      </c>
      <c r="D183" s="157">
        <v>78.256818181818176</v>
      </c>
      <c r="E183" s="153">
        <v>79</v>
      </c>
      <c r="F183" s="153">
        <v>9</v>
      </c>
      <c r="G183" s="190">
        <v>25</v>
      </c>
    </row>
    <row r="184" spans="1:7">
      <c r="A184" s="189">
        <v>13</v>
      </c>
      <c r="B184" s="96">
        <v>38</v>
      </c>
      <c r="C184" s="109">
        <v>6820.4000000000005</v>
      </c>
      <c r="D184" s="157">
        <v>77.504545454545465</v>
      </c>
      <c r="E184" s="153">
        <v>78</v>
      </c>
      <c r="F184" s="153">
        <v>10</v>
      </c>
      <c r="G184" s="190">
        <v>30</v>
      </c>
    </row>
    <row r="185" spans="1:7">
      <c r="A185" s="189">
        <v>14</v>
      </c>
      <c r="B185" s="96">
        <v>39</v>
      </c>
      <c r="C185" s="109">
        <v>6812.0000000000036</v>
      </c>
      <c r="D185" s="157">
        <v>77.409090909090949</v>
      </c>
      <c r="E185" s="153">
        <v>79</v>
      </c>
      <c r="F185" s="153">
        <v>9</v>
      </c>
      <c r="G185" s="190">
        <v>30</v>
      </c>
    </row>
    <row r="186" spans="1:7">
      <c r="A186" s="189">
        <v>15</v>
      </c>
      <c r="B186" s="96">
        <v>40</v>
      </c>
      <c r="C186" s="109">
        <v>6764.3999999999978</v>
      </c>
      <c r="D186" s="157">
        <v>76.868181818181796</v>
      </c>
      <c r="E186" s="153">
        <v>79</v>
      </c>
      <c r="F186" s="153">
        <v>9</v>
      </c>
      <c r="G186" s="190">
        <v>50</v>
      </c>
    </row>
    <row r="187" spans="1:7">
      <c r="A187" s="189">
        <v>16</v>
      </c>
      <c r="B187" s="96">
        <v>41</v>
      </c>
      <c r="C187" s="109">
        <v>6692.1999999999989</v>
      </c>
      <c r="D187" s="157">
        <v>76.047727272727258</v>
      </c>
      <c r="E187" s="153">
        <v>76</v>
      </c>
      <c r="F187" s="153">
        <v>12</v>
      </c>
      <c r="G187" s="190">
        <v>50</v>
      </c>
    </row>
    <row r="188" spans="1:7">
      <c r="A188" s="189">
        <v>17</v>
      </c>
      <c r="B188" s="96">
        <v>42</v>
      </c>
      <c r="C188" s="109">
        <v>6640.5</v>
      </c>
      <c r="D188" s="157">
        <v>75.460227272727266</v>
      </c>
      <c r="E188" s="153">
        <v>76</v>
      </c>
      <c r="F188" s="153">
        <v>12</v>
      </c>
      <c r="G188" s="190">
        <v>50</v>
      </c>
    </row>
    <row r="189" spans="1:7">
      <c r="A189" s="189">
        <v>18</v>
      </c>
      <c r="B189" s="96">
        <v>43</v>
      </c>
      <c r="C189" s="109">
        <v>6609</v>
      </c>
      <c r="D189" s="157">
        <v>75.102272727272734</v>
      </c>
      <c r="E189" s="153">
        <v>76</v>
      </c>
      <c r="F189" s="153">
        <v>12</v>
      </c>
      <c r="G189" s="190">
        <v>50</v>
      </c>
    </row>
    <row r="190" spans="1:7">
      <c r="A190" s="189">
        <v>19</v>
      </c>
      <c r="B190" s="96">
        <v>44</v>
      </c>
      <c r="C190" s="109">
        <v>6463.300000000002</v>
      </c>
      <c r="D190" s="157">
        <v>73.446590909090929</v>
      </c>
      <c r="E190" s="153">
        <v>76</v>
      </c>
      <c r="F190" s="153">
        <v>12</v>
      </c>
      <c r="G190" s="190">
        <v>50</v>
      </c>
    </row>
    <row r="191" spans="1:7">
      <c r="A191" s="189">
        <v>20</v>
      </c>
      <c r="B191" s="96">
        <v>45</v>
      </c>
      <c r="C191" s="109">
        <v>6502.3</v>
      </c>
      <c r="D191" s="157">
        <v>73.889772727272728</v>
      </c>
      <c r="E191" s="153">
        <v>74</v>
      </c>
      <c r="F191" s="153">
        <v>14</v>
      </c>
      <c r="G191" s="190">
        <v>50</v>
      </c>
    </row>
    <row r="192" spans="1:7">
      <c r="A192" s="189">
        <v>21</v>
      </c>
      <c r="B192" s="96">
        <v>46</v>
      </c>
      <c r="C192" s="109">
        <v>6474.3999999999987</v>
      </c>
      <c r="D192" s="157">
        <v>73.572727272727263</v>
      </c>
      <c r="E192" s="153">
        <v>74</v>
      </c>
      <c r="F192" s="153">
        <v>14</v>
      </c>
      <c r="G192" s="190">
        <v>50</v>
      </c>
    </row>
    <row r="193" spans="1:7">
      <c r="A193" s="189">
        <v>22</v>
      </c>
      <c r="B193" s="96">
        <v>47</v>
      </c>
      <c r="C193" s="109">
        <v>6429.7000000000007</v>
      </c>
      <c r="D193" s="157">
        <v>73.064772727272739</v>
      </c>
      <c r="E193" s="153">
        <v>73</v>
      </c>
      <c r="F193" s="153">
        <v>15</v>
      </c>
      <c r="G193" s="190">
        <v>107</v>
      </c>
    </row>
    <row r="194" spans="1:7">
      <c r="A194" s="189">
        <v>23</v>
      </c>
      <c r="B194" s="96">
        <v>48</v>
      </c>
      <c r="C194" s="109">
        <v>6370.4999999999991</v>
      </c>
      <c r="D194" s="157">
        <v>72.392045454545439</v>
      </c>
      <c r="E194" s="153">
        <v>73</v>
      </c>
      <c r="F194" s="153">
        <v>15</v>
      </c>
      <c r="G194" s="190">
        <v>100</v>
      </c>
    </row>
    <row r="195" spans="1:7">
      <c r="A195" s="189">
        <v>0</v>
      </c>
      <c r="B195" s="96">
        <v>49</v>
      </c>
      <c r="C195" s="109">
        <v>6213.3</v>
      </c>
      <c r="D195" s="157">
        <v>70.605681818181822</v>
      </c>
      <c r="E195" s="153">
        <v>68</v>
      </c>
      <c r="F195" s="153">
        <v>20</v>
      </c>
      <c r="G195" s="190">
        <v>150</v>
      </c>
    </row>
    <row r="196" spans="1:7">
      <c r="A196" s="189">
        <v>1</v>
      </c>
      <c r="B196" s="96">
        <v>50</v>
      </c>
      <c r="C196" s="109">
        <v>6216.9999999999991</v>
      </c>
      <c r="D196" s="157">
        <v>70.647727272727266</v>
      </c>
      <c r="E196" s="153">
        <v>69</v>
      </c>
      <c r="F196" s="153">
        <v>19</v>
      </c>
      <c r="G196" s="190">
        <v>50</v>
      </c>
    </row>
    <row r="197" spans="1:7">
      <c r="A197" s="189">
        <v>2</v>
      </c>
      <c r="B197" s="96">
        <v>51</v>
      </c>
      <c r="C197" s="109">
        <v>6026.2</v>
      </c>
      <c r="D197" s="157">
        <v>68.479545454545459</v>
      </c>
      <c r="E197" s="153">
        <v>67</v>
      </c>
      <c r="F197" s="153">
        <v>21</v>
      </c>
      <c r="G197" s="190">
        <v>20</v>
      </c>
    </row>
    <row r="198" spans="1:7">
      <c r="A198" s="189">
        <v>3</v>
      </c>
      <c r="B198" s="96">
        <v>52</v>
      </c>
      <c r="C198" s="109">
        <v>6040.0999999999995</v>
      </c>
      <c r="D198" s="157">
        <v>68.637499999999989</v>
      </c>
      <c r="E198" s="153">
        <v>64</v>
      </c>
      <c r="F198" s="153">
        <v>24</v>
      </c>
      <c r="G198" s="190">
        <v>50</v>
      </c>
    </row>
    <row r="199" spans="1:7">
      <c r="A199" s="189">
        <v>4</v>
      </c>
      <c r="B199" s="96">
        <v>53</v>
      </c>
      <c r="C199" s="109">
        <v>6006.9999999999982</v>
      </c>
      <c r="D199" s="157">
        <v>68.261363636363612</v>
      </c>
      <c r="E199" s="153">
        <v>64</v>
      </c>
      <c r="F199" s="153">
        <v>24</v>
      </c>
      <c r="G199" s="190">
        <v>50</v>
      </c>
    </row>
    <row r="200" spans="1:7">
      <c r="A200" s="189">
        <v>5</v>
      </c>
      <c r="B200" s="96">
        <v>54</v>
      </c>
      <c r="C200" s="109">
        <v>6110.9000000000015</v>
      </c>
      <c r="D200" s="157">
        <v>69.442045454545465</v>
      </c>
      <c r="E200" s="153">
        <v>68</v>
      </c>
      <c r="F200" s="153">
        <v>20</v>
      </c>
      <c r="G200" s="190">
        <v>50</v>
      </c>
    </row>
    <row r="201" spans="1:7">
      <c r="A201" s="189">
        <v>6</v>
      </c>
      <c r="B201" s="96">
        <v>55</v>
      </c>
      <c r="C201" s="109">
        <v>6390.1000000000013</v>
      </c>
      <c r="D201" s="157">
        <v>72.614772727272737</v>
      </c>
      <c r="E201" s="153">
        <v>76</v>
      </c>
      <c r="F201" s="153">
        <v>12</v>
      </c>
      <c r="G201" s="190">
        <v>100</v>
      </c>
    </row>
    <row r="202" spans="1:7">
      <c r="A202" s="189">
        <v>7</v>
      </c>
      <c r="B202" s="96">
        <v>56</v>
      </c>
      <c r="C202" s="109">
        <v>6651.3000000000011</v>
      </c>
      <c r="D202" s="157">
        <v>75.582954545454555</v>
      </c>
      <c r="E202" s="153">
        <v>77</v>
      </c>
      <c r="F202" s="153">
        <v>11</v>
      </c>
      <c r="G202" s="190">
        <v>125</v>
      </c>
    </row>
    <row r="203" spans="1:7">
      <c r="A203" s="189">
        <v>8</v>
      </c>
      <c r="B203" s="96">
        <v>57</v>
      </c>
      <c r="C203" s="109">
        <v>6805.5000000000009</v>
      </c>
      <c r="D203" s="157">
        <v>77.33522727272728</v>
      </c>
      <c r="E203" s="153">
        <v>76</v>
      </c>
      <c r="F203" s="153">
        <v>12</v>
      </c>
      <c r="G203" s="190">
        <v>125</v>
      </c>
    </row>
    <row r="204" spans="1:7">
      <c r="A204" s="189">
        <v>9</v>
      </c>
      <c r="B204" s="96">
        <v>58</v>
      </c>
      <c r="C204" s="109">
        <v>6751.3</v>
      </c>
      <c r="D204" s="157">
        <v>76.719318181818181</v>
      </c>
      <c r="E204" s="153">
        <v>77</v>
      </c>
      <c r="F204" s="153">
        <v>11</v>
      </c>
      <c r="G204" s="190">
        <v>150</v>
      </c>
    </row>
    <row r="205" spans="1:7">
      <c r="A205" s="189">
        <v>10</v>
      </c>
      <c r="B205" s="96">
        <v>59</v>
      </c>
      <c r="C205" s="109">
        <v>6688.4000000000005</v>
      </c>
      <c r="D205" s="157">
        <v>76.004545454545465</v>
      </c>
      <c r="E205" s="153">
        <v>74</v>
      </c>
      <c r="F205" s="153">
        <v>14</v>
      </c>
      <c r="G205" s="190">
        <v>150</v>
      </c>
    </row>
    <row r="206" spans="1:7">
      <c r="A206" s="189">
        <v>11</v>
      </c>
      <c r="B206" s="96">
        <v>60</v>
      </c>
      <c r="C206" s="109">
        <v>6593.6999999999989</v>
      </c>
      <c r="D206" s="157">
        <v>74.928409090909085</v>
      </c>
      <c r="E206" s="153">
        <v>75</v>
      </c>
      <c r="F206" s="153">
        <v>13</v>
      </c>
      <c r="G206" s="190">
        <v>50</v>
      </c>
    </row>
    <row r="207" spans="1:7">
      <c r="A207" s="189">
        <v>12</v>
      </c>
      <c r="B207" s="96">
        <v>61</v>
      </c>
      <c r="C207" s="109">
        <v>6693.7000000000007</v>
      </c>
      <c r="D207" s="157">
        <v>76.064772727272739</v>
      </c>
      <c r="E207" s="153">
        <v>74</v>
      </c>
      <c r="F207" s="153">
        <v>14</v>
      </c>
      <c r="G207" s="190">
        <v>75</v>
      </c>
    </row>
    <row r="208" spans="1:7">
      <c r="A208" s="189">
        <v>13</v>
      </c>
      <c r="B208" s="96">
        <v>62</v>
      </c>
      <c r="C208" s="109">
        <v>6830.1000000000013</v>
      </c>
      <c r="D208" s="157">
        <v>77.614772727272737</v>
      </c>
      <c r="E208" s="153">
        <v>78</v>
      </c>
      <c r="F208" s="153">
        <v>10</v>
      </c>
      <c r="G208" s="190">
        <v>75</v>
      </c>
    </row>
    <row r="209" spans="1:7">
      <c r="A209" s="189">
        <v>14</v>
      </c>
      <c r="B209" s="96">
        <v>63</v>
      </c>
      <c r="C209" s="109">
        <v>5981.2000000000007</v>
      </c>
      <c r="D209" s="157">
        <v>67.968181818181833</v>
      </c>
      <c r="E209" s="153">
        <v>75</v>
      </c>
      <c r="F209" s="153">
        <v>13</v>
      </c>
      <c r="G209" s="190">
        <v>75</v>
      </c>
    </row>
    <row r="210" spans="1:7">
      <c r="A210" s="189">
        <v>15</v>
      </c>
      <c r="B210" s="96">
        <v>64</v>
      </c>
      <c r="C210" s="109">
        <v>5883.5999999999995</v>
      </c>
      <c r="D210" s="157">
        <v>66.859090909090909</v>
      </c>
      <c r="E210" s="153">
        <v>75</v>
      </c>
      <c r="F210" s="153">
        <v>13</v>
      </c>
      <c r="G210" s="190">
        <v>67</v>
      </c>
    </row>
    <row r="211" spans="1:7">
      <c r="A211" s="189">
        <v>16</v>
      </c>
      <c r="B211" s="96">
        <v>65</v>
      </c>
      <c r="C211" s="109">
        <v>5836.5000000000009</v>
      </c>
      <c r="D211" s="157">
        <v>66.32386363636364</v>
      </c>
      <c r="E211" s="153">
        <v>74</v>
      </c>
      <c r="F211" s="153">
        <v>14</v>
      </c>
      <c r="G211" s="190">
        <v>75</v>
      </c>
    </row>
    <row r="212" spans="1:7">
      <c r="A212" s="189">
        <v>17</v>
      </c>
      <c r="B212" s="96">
        <v>66</v>
      </c>
      <c r="C212" s="109">
        <v>5528.4</v>
      </c>
      <c r="D212" s="157">
        <v>62.822727272727271</v>
      </c>
      <c r="E212" s="153">
        <v>71</v>
      </c>
      <c r="F212" s="153">
        <v>17</v>
      </c>
      <c r="G212" s="190">
        <v>215</v>
      </c>
    </row>
    <row r="213" spans="1:7">
      <c r="A213" s="189">
        <v>18</v>
      </c>
      <c r="B213" s="96">
        <v>67</v>
      </c>
      <c r="C213" s="109">
        <v>5598.5</v>
      </c>
      <c r="D213" s="157">
        <v>63.61931818181818</v>
      </c>
      <c r="E213" s="153">
        <v>70</v>
      </c>
      <c r="F213" s="153">
        <v>18</v>
      </c>
      <c r="G213" s="190">
        <v>300</v>
      </c>
    </row>
    <row r="214" spans="1:7">
      <c r="A214" s="189">
        <v>19</v>
      </c>
      <c r="B214" s="96">
        <v>68</v>
      </c>
      <c r="C214" s="109">
        <v>5436.5000000000009</v>
      </c>
      <c r="D214" s="157">
        <v>61.778409090909101</v>
      </c>
      <c r="E214" s="153">
        <v>69</v>
      </c>
      <c r="F214" s="153">
        <v>19</v>
      </c>
      <c r="G214" s="190">
        <v>350</v>
      </c>
    </row>
    <row r="215" spans="1:7">
      <c r="A215" s="189">
        <v>20</v>
      </c>
      <c r="B215" s="96">
        <v>69</v>
      </c>
      <c r="C215" s="109">
        <v>5559.6000000000022</v>
      </c>
      <c r="D215" s="157">
        <v>63.177272727272751</v>
      </c>
      <c r="E215" s="153">
        <v>69</v>
      </c>
      <c r="F215" s="153">
        <v>19</v>
      </c>
      <c r="G215" s="190">
        <v>350</v>
      </c>
    </row>
    <row r="216" spans="1:7">
      <c r="A216" s="189">
        <v>21</v>
      </c>
      <c r="B216" s="96">
        <v>70</v>
      </c>
      <c r="C216" s="109">
        <v>5935.4000000000024</v>
      </c>
      <c r="D216" s="157">
        <v>67.447727272727306</v>
      </c>
      <c r="E216" s="153">
        <v>70</v>
      </c>
      <c r="F216" s="153">
        <v>18</v>
      </c>
      <c r="G216" s="190">
        <v>350</v>
      </c>
    </row>
    <row r="217" spans="1:7">
      <c r="A217" s="189">
        <v>22</v>
      </c>
      <c r="B217" s="96">
        <v>71</v>
      </c>
      <c r="C217" s="109">
        <v>6120.0999999999995</v>
      </c>
      <c r="D217" s="157">
        <v>69.546590909090909</v>
      </c>
      <c r="E217" s="153">
        <v>73</v>
      </c>
      <c r="F217" s="153">
        <v>15</v>
      </c>
      <c r="G217" s="190">
        <v>350</v>
      </c>
    </row>
    <row r="218" spans="1:7">
      <c r="A218" s="189">
        <v>23</v>
      </c>
      <c r="B218" s="96">
        <v>72</v>
      </c>
      <c r="C218" s="109">
        <v>5737.7000000000016</v>
      </c>
      <c r="D218" s="157">
        <v>65.20113636363638</v>
      </c>
      <c r="E218" s="153">
        <v>69</v>
      </c>
      <c r="F218" s="153">
        <v>19</v>
      </c>
      <c r="G218" s="190">
        <v>50</v>
      </c>
    </row>
    <row r="219" spans="1:7">
      <c r="A219" s="189">
        <v>0</v>
      </c>
      <c r="B219" s="96">
        <v>73</v>
      </c>
      <c r="C219" s="109">
        <v>5267.1999999999971</v>
      </c>
      <c r="D219" s="157">
        <v>59.854545454545423</v>
      </c>
      <c r="E219" s="153">
        <v>64</v>
      </c>
      <c r="F219" s="153">
        <v>24</v>
      </c>
      <c r="G219" s="190">
        <v>50</v>
      </c>
    </row>
    <row r="220" spans="1:7">
      <c r="A220" s="189">
        <v>1</v>
      </c>
      <c r="B220" s="96">
        <v>74</v>
      </c>
      <c r="C220" s="109">
        <v>5341.4</v>
      </c>
      <c r="D220" s="157">
        <v>60.697727272727271</v>
      </c>
      <c r="E220" s="153">
        <v>63</v>
      </c>
      <c r="F220" s="153">
        <v>25</v>
      </c>
      <c r="G220" s="190">
        <v>50</v>
      </c>
    </row>
    <row r="221" spans="1:7">
      <c r="A221" s="189">
        <v>2</v>
      </c>
      <c r="B221" s="96">
        <v>75</v>
      </c>
      <c r="C221" s="109">
        <v>5302.4000000000015</v>
      </c>
      <c r="D221" s="157">
        <v>60.254545454545472</v>
      </c>
      <c r="E221" s="153">
        <v>64</v>
      </c>
      <c r="F221" s="153">
        <v>24</v>
      </c>
      <c r="G221" s="190">
        <v>50</v>
      </c>
    </row>
    <row r="222" spans="1:7">
      <c r="A222" s="189">
        <v>3</v>
      </c>
      <c r="B222" s="96">
        <v>76</v>
      </c>
      <c r="C222" s="109">
        <v>5266.9000000000024</v>
      </c>
      <c r="D222" s="157">
        <v>59.851136363636392</v>
      </c>
      <c r="E222" s="153">
        <v>62</v>
      </c>
      <c r="F222" s="153">
        <v>26</v>
      </c>
      <c r="G222" s="190">
        <v>75</v>
      </c>
    </row>
    <row r="223" spans="1:7">
      <c r="A223" s="189">
        <v>4</v>
      </c>
      <c r="B223" s="96">
        <v>77</v>
      </c>
      <c r="C223" s="109">
        <v>5310.4000000000005</v>
      </c>
      <c r="D223" s="157">
        <v>60.345454545454551</v>
      </c>
      <c r="E223" s="153">
        <v>63</v>
      </c>
      <c r="F223" s="153">
        <v>25</v>
      </c>
      <c r="G223" s="190">
        <v>75</v>
      </c>
    </row>
    <row r="224" spans="1:7">
      <c r="A224" s="189">
        <v>5</v>
      </c>
      <c r="B224" s="96">
        <v>78</v>
      </c>
      <c r="C224" s="109">
        <v>5692.0000000000009</v>
      </c>
      <c r="D224" s="157">
        <v>64.681818181818187</v>
      </c>
      <c r="E224" s="153">
        <v>69</v>
      </c>
      <c r="F224" s="153">
        <v>19</v>
      </c>
      <c r="G224" s="190">
        <v>75</v>
      </c>
    </row>
    <row r="225" spans="1:7">
      <c r="A225" s="189">
        <v>6</v>
      </c>
      <c r="B225" s="96">
        <v>79</v>
      </c>
      <c r="C225" s="109">
        <v>5659.300000000002</v>
      </c>
      <c r="D225" s="157">
        <v>64.310227272727289</v>
      </c>
      <c r="E225" s="153">
        <v>72</v>
      </c>
      <c r="F225" s="153">
        <v>16</v>
      </c>
      <c r="G225" s="190">
        <v>75</v>
      </c>
    </row>
    <row r="226" spans="1:7">
      <c r="A226" s="189">
        <v>7</v>
      </c>
      <c r="B226" s="96">
        <v>80</v>
      </c>
      <c r="C226" s="109">
        <v>6403.2</v>
      </c>
      <c r="D226" s="157">
        <v>72.763636363636365</v>
      </c>
      <c r="E226" s="153">
        <v>75</v>
      </c>
      <c r="F226" s="153">
        <v>13</v>
      </c>
      <c r="G226" s="190">
        <v>100</v>
      </c>
    </row>
    <row r="227" spans="1:7">
      <c r="A227" s="189">
        <v>8</v>
      </c>
      <c r="B227" s="96">
        <v>81</v>
      </c>
      <c r="C227" s="109">
        <v>5512.9999999999991</v>
      </c>
      <c r="D227" s="157">
        <v>62.647727272727259</v>
      </c>
      <c r="E227" s="153">
        <v>71</v>
      </c>
      <c r="F227" s="153">
        <v>17</v>
      </c>
      <c r="G227" s="190">
        <v>200</v>
      </c>
    </row>
    <row r="228" spans="1:7">
      <c r="A228" s="189">
        <v>9</v>
      </c>
      <c r="B228" s="96">
        <v>82</v>
      </c>
      <c r="C228" s="109">
        <v>6360.9999999999991</v>
      </c>
      <c r="D228" s="157">
        <v>72.284090909090892</v>
      </c>
      <c r="E228" s="153">
        <v>75</v>
      </c>
      <c r="F228" s="153">
        <v>13</v>
      </c>
      <c r="G228" s="190">
        <v>300</v>
      </c>
    </row>
    <row r="229" spans="1:7">
      <c r="A229" s="189">
        <v>10</v>
      </c>
      <c r="B229" s="96">
        <v>83</v>
      </c>
      <c r="C229" s="109">
        <v>6204</v>
      </c>
      <c r="D229" s="157">
        <v>70.5</v>
      </c>
      <c r="E229" s="153">
        <v>71</v>
      </c>
      <c r="F229" s="153">
        <v>17</v>
      </c>
      <c r="G229" s="190">
        <v>50</v>
      </c>
    </row>
    <row r="230" spans="1:7">
      <c r="A230" s="189">
        <v>11</v>
      </c>
      <c r="B230" s="96">
        <v>84</v>
      </c>
      <c r="C230" s="109">
        <v>6363.1</v>
      </c>
      <c r="D230" s="157">
        <v>72.30795454545455</v>
      </c>
      <c r="E230" s="153">
        <v>71</v>
      </c>
      <c r="F230" s="153">
        <v>17</v>
      </c>
      <c r="G230" s="190">
        <v>200</v>
      </c>
    </row>
    <row r="231" spans="1:7">
      <c r="A231" s="189">
        <v>12</v>
      </c>
      <c r="B231" s="96">
        <v>85</v>
      </c>
      <c r="C231" s="109">
        <v>6557.0000000000009</v>
      </c>
      <c r="D231" s="157">
        <v>74.51136363636364</v>
      </c>
      <c r="E231" s="153">
        <v>74</v>
      </c>
      <c r="F231" s="153">
        <v>14</v>
      </c>
      <c r="G231" s="190">
        <v>200</v>
      </c>
    </row>
    <row r="232" spans="1:7">
      <c r="A232" s="189">
        <v>13</v>
      </c>
      <c r="B232" s="96">
        <v>86</v>
      </c>
      <c r="C232" s="109">
        <v>6112.2</v>
      </c>
      <c r="D232" s="157">
        <v>69.456818181818178</v>
      </c>
      <c r="E232" s="153">
        <v>71</v>
      </c>
      <c r="F232" s="153">
        <v>17</v>
      </c>
      <c r="G232" s="190">
        <v>250</v>
      </c>
    </row>
    <row r="233" spans="1:7">
      <c r="A233" s="189">
        <v>14</v>
      </c>
      <c r="B233" s="96">
        <v>87</v>
      </c>
      <c r="C233" s="109">
        <v>6061.1000000000022</v>
      </c>
      <c r="D233" s="157">
        <v>68.876136363636391</v>
      </c>
      <c r="E233" s="153">
        <v>71</v>
      </c>
      <c r="F233" s="153">
        <v>17</v>
      </c>
      <c r="G233" s="190">
        <v>300</v>
      </c>
    </row>
    <row r="234" spans="1:7">
      <c r="A234" s="189">
        <v>15</v>
      </c>
      <c r="B234" s="96">
        <v>88</v>
      </c>
      <c r="C234" s="109">
        <v>6652.9</v>
      </c>
      <c r="D234" s="157">
        <v>75.601136363636357</v>
      </c>
      <c r="E234" s="153">
        <v>75</v>
      </c>
      <c r="F234" s="153">
        <v>13</v>
      </c>
      <c r="G234" s="190">
        <v>300</v>
      </c>
    </row>
    <row r="235" spans="1:7">
      <c r="A235" s="189">
        <v>16</v>
      </c>
      <c r="B235" s="96">
        <v>89</v>
      </c>
      <c r="C235" s="109">
        <v>6508.9000000000005</v>
      </c>
      <c r="D235" s="157">
        <v>73.964772727272731</v>
      </c>
      <c r="E235" s="153">
        <v>72</v>
      </c>
      <c r="F235" s="153">
        <v>16</v>
      </c>
      <c r="G235" s="190"/>
    </row>
    <row r="236" spans="1:7">
      <c r="A236" s="189">
        <v>17</v>
      </c>
      <c r="B236" s="96">
        <v>90</v>
      </c>
      <c r="C236" s="109">
        <v>6514.7000000000025</v>
      </c>
      <c r="D236" s="157">
        <v>74.030681818181847</v>
      </c>
      <c r="E236" s="153">
        <v>73</v>
      </c>
      <c r="F236" s="153">
        <v>15</v>
      </c>
      <c r="G236" s="190"/>
    </row>
    <row r="237" spans="1:7">
      <c r="A237" s="189">
        <v>18</v>
      </c>
      <c r="B237" s="96">
        <v>91</v>
      </c>
      <c r="C237" s="109">
        <v>6532.3</v>
      </c>
      <c r="D237" s="157">
        <v>74.230681818181822</v>
      </c>
      <c r="E237" s="153">
        <v>73</v>
      </c>
      <c r="F237" s="153">
        <v>15</v>
      </c>
      <c r="G237" s="190"/>
    </row>
    <row r="238" spans="1:7">
      <c r="A238" s="189">
        <v>19</v>
      </c>
      <c r="B238" s="96">
        <v>92</v>
      </c>
      <c r="C238" s="109">
        <v>6371.2</v>
      </c>
      <c r="D238" s="157">
        <v>72.399999999999991</v>
      </c>
      <c r="E238" s="153">
        <v>73</v>
      </c>
      <c r="F238" s="153">
        <v>15</v>
      </c>
      <c r="G238" s="190"/>
    </row>
    <row r="239" spans="1:7">
      <c r="A239" s="189">
        <v>20</v>
      </c>
      <c r="B239" s="96">
        <v>93</v>
      </c>
      <c r="C239" s="109">
        <v>6328.0999999999995</v>
      </c>
      <c r="D239" s="157">
        <v>71.910227272727269</v>
      </c>
      <c r="E239" s="153">
        <v>71</v>
      </c>
      <c r="F239" s="153">
        <v>17</v>
      </c>
      <c r="G239" s="190"/>
    </row>
    <row r="240" spans="1:7">
      <c r="A240" s="189">
        <v>21</v>
      </c>
      <c r="B240" s="96">
        <v>94</v>
      </c>
      <c r="C240" s="109">
        <v>6273.3000000000011</v>
      </c>
      <c r="D240" s="157">
        <v>71.287500000000009</v>
      </c>
      <c r="E240" s="153">
        <v>72</v>
      </c>
      <c r="F240" s="153">
        <v>16</v>
      </c>
      <c r="G240" s="190"/>
    </row>
    <row r="241" spans="1:7">
      <c r="A241" s="189">
        <v>22</v>
      </c>
      <c r="B241" s="96">
        <v>95</v>
      </c>
      <c r="C241" s="109">
        <v>6161.6</v>
      </c>
      <c r="D241" s="157">
        <v>70.018181818181816</v>
      </c>
      <c r="E241" s="153">
        <v>70</v>
      </c>
      <c r="F241" s="153">
        <v>18</v>
      </c>
      <c r="G241" s="190"/>
    </row>
    <row r="242" spans="1:7">
      <c r="A242" s="189">
        <v>23</v>
      </c>
      <c r="B242" s="96">
        <v>96</v>
      </c>
      <c r="C242" s="109">
        <v>5807</v>
      </c>
      <c r="D242" s="157">
        <v>65.98863636363636</v>
      </c>
      <c r="E242" s="153">
        <v>68</v>
      </c>
      <c r="F242" s="153">
        <v>20</v>
      </c>
      <c r="G242" s="190"/>
    </row>
    <row r="243" spans="1:7">
      <c r="A243" s="189">
        <v>0</v>
      </c>
      <c r="B243" s="96">
        <v>97</v>
      </c>
      <c r="C243" s="109">
        <v>5261.0999999999976</v>
      </c>
      <c r="D243" s="157">
        <v>59.785227272727248</v>
      </c>
      <c r="E243" s="153">
        <v>62</v>
      </c>
      <c r="F243" s="153">
        <v>26</v>
      </c>
      <c r="G243" s="190"/>
    </row>
    <row r="244" spans="1:7">
      <c r="A244" s="189">
        <v>1</v>
      </c>
      <c r="B244" s="96">
        <v>98</v>
      </c>
      <c r="C244" s="109">
        <v>5420</v>
      </c>
      <c r="D244" s="157">
        <v>61.590909090909093</v>
      </c>
      <c r="E244" s="153">
        <v>63</v>
      </c>
      <c r="F244" s="153">
        <v>25</v>
      </c>
      <c r="G244" s="190"/>
    </row>
    <row r="245" spans="1:7">
      <c r="A245" s="189">
        <v>2</v>
      </c>
      <c r="B245" s="96">
        <v>99</v>
      </c>
      <c r="C245" s="109">
        <v>5251.5</v>
      </c>
      <c r="D245" s="157">
        <v>59.676136363636367</v>
      </c>
      <c r="E245" s="153">
        <v>62</v>
      </c>
      <c r="F245" s="153">
        <v>26</v>
      </c>
      <c r="G245" s="190"/>
    </row>
    <row r="246" spans="1:7">
      <c r="A246" s="189">
        <v>3</v>
      </c>
      <c r="B246" s="96">
        <v>100</v>
      </c>
      <c r="C246" s="109">
        <v>5084.7999999999993</v>
      </c>
      <c r="D246" s="157">
        <v>57.781818181818174</v>
      </c>
      <c r="E246" s="153">
        <v>58</v>
      </c>
      <c r="F246" s="153">
        <v>30</v>
      </c>
      <c r="G246" s="190"/>
    </row>
    <row r="247" spans="1:7">
      <c r="A247" s="189">
        <v>4</v>
      </c>
      <c r="B247" s="96">
        <v>101</v>
      </c>
      <c r="C247" s="109">
        <v>5130.2000000000007</v>
      </c>
      <c r="D247" s="157">
        <v>58.297727272727279</v>
      </c>
      <c r="E247" s="153">
        <v>59</v>
      </c>
      <c r="F247" s="153">
        <v>29</v>
      </c>
      <c r="G247" s="190"/>
    </row>
    <row r="248" spans="1:7">
      <c r="A248" s="189">
        <v>5</v>
      </c>
      <c r="B248" s="96">
        <v>102</v>
      </c>
      <c r="C248" s="109">
        <v>5697.5999999999985</v>
      </c>
      <c r="D248" s="157">
        <v>64.745454545454535</v>
      </c>
      <c r="E248" s="153">
        <v>67</v>
      </c>
      <c r="F248" s="153">
        <v>21</v>
      </c>
      <c r="G248" s="190"/>
    </row>
    <row r="249" spans="1:7">
      <c r="A249" s="189">
        <v>6</v>
      </c>
      <c r="B249" s="96">
        <v>103</v>
      </c>
      <c r="C249" s="109">
        <v>6155.7999999999993</v>
      </c>
      <c r="D249" s="157">
        <v>69.952272727272714</v>
      </c>
      <c r="E249" s="153">
        <v>71</v>
      </c>
      <c r="F249" s="153">
        <v>17</v>
      </c>
      <c r="G249" s="190"/>
    </row>
    <row r="250" spans="1:7">
      <c r="A250" s="189">
        <v>7</v>
      </c>
      <c r="B250" s="96">
        <v>104</v>
      </c>
      <c r="C250" s="109">
        <v>6508.9000000000005</v>
      </c>
      <c r="D250" s="157">
        <v>73.964772727272731</v>
      </c>
      <c r="E250" s="153">
        <v>73</v>
      </c>
      <c r="F250" s="153">
        <v>15</v>
      </c>
      <c r="G250" s="190"/>
    </row>
    <row r="251" spans="1:7">
      <c r="A251" s="189">
        <v>8</v>
      </c>
      <c r="B251" s="96">
        <v>105</v>
      </c>
      <c r="C251" s="109">
        <v>6574.3000000000011</v>
      </c>
      <c r="D251" s="157">
        <v>74.707954545454555</v>
      </c>
      <c r="E251" s="153">
        <v>75</v>
      </c>
      <c r="F251" s="153">
        <v>13</v>
      </c>
      <c r="G251" s="190"/>
    </row>
    <row r="252" spans="1:7">
      <c r="A252" s="189">
        <v>9</v>
      </c>
      <c r="B252" s="96">
        <v>106</v>
      </c>
      <c r="C252" s="109">
        <v>5875.1</v>
      </c>
      <c r="D252" s="157">
        <v>66.762500000000003</v>
      </c>
      <c r="E252" s="153">
        <v>73</v>
      </c>
      <c r="F252" s="153">
        <v>15</v>
      </c>
      <c r="G252" s="190"/>
    </row>
    <row r="253" spans="1:7">
      <c r="A253" s="189">
        <v>10</v>
      </c>
      <c r="B253" s="96">
        <v>107</v>
      </c>
      <c r="C253" s="109">
        <v>5980.5000000000009</v>
      </c>
      <c r="D253" s="157">
        <v>67.96022727272728</v>
      </c>
      <c r="E253" s="153">
        <v>73</v>
      </c>
      <c r="F253" s="153">
        <v>15</v>
      </c>
      <c r="G253" s="190"/>
    </row>
    <row r="254" spans="1:7">
      <c r="A254" s="189">
        <v>11</v>
      </c>
      <c r="B254" s="96">
        <v>108</v>
      </c>
      <c r="C254" s="109">
        <v>5814.7</v>
      </c>
      <c r="D254" s="157">
        <v>66.076136363636365</v>
      </c>
      <c r="E254" s="153">
        <v>71</v>
      </c>
      <c r="F254" s="153">
        <v>17</v>
      </c>
      <c r="G254" s="190"/>
    </row>
    <row r="255" spans="1:7">
      <c r="A255" s="189">
        <v>12</v>
      </c>
      <c r="B255" s="96">
        <v>109</v>
      </c>
      <c r="C255" s="109">
        <v>6420.3999999999978</v>
      </c>
      <c r="D255" s="157">
        <v>72.959090909090889</v>
      </c>
      <c r="E255" s="153">
        <v>74</v>
      </c>
      <c r="F255" s="153">
        <v>14</v>
      </c>
      <c r="G255" s="190"/>
    </row>
    <row r="256" spans="1:7">
      <c r="A256" s="189">
        <v>13</v>
      </c>
      <c r="B256" s="96">
        <v>110</v>
      </c>
      <c r="C256" s="109">
        <v>5860.8000000000011</v>
      </c>
      <c r="D256" s="157">
        <v>66.600000000000009</v>
      </c>
      <c r="E256" s="153">
        <v>71</v>
      </c>
      <c r="F256" s="153">
        <v>17</v>
      </c>
      <c r="G256" s="190"/>
    </row>
    <row r="257" spans="1:7">
      <c r="A257" s="189">
        <v>14</v>
      </c>
      <c r="B257" s="96">
        <v>111</v>
      </c>
      <c r="C257" s="109">
        <v>6549.9000000000015</v>
      </c>
      <c r="D257" s="157">
        <v>74.430681818181839</v>
      </c>
      <c r="E257" s="153">
        <v>73</v>
      </c>
      <c r="F257" s="153">
        <v>15</v>
      </c>
      <c r="G257" s="190"/>
    </row>
    <row r="258" spans="1:7">
      <c r="A258" s="189">
        <v>15</v>
      </c>
      <c r="B258" s="96">
        <v>112</v>
      </c>
      <c r="C258" s="109">
        <v>5719.3999999999978</v>
      </c>
      <c r="D258" s="157">
        <v>64.993181818181796</v>
      </c>
      <c r="E258" s="153">
        <v>71</v>
      </c>
      <c r="F258" s="153">
        <v>17</v>
      </c>
      <c r="G258" s="190"/>
    </row>
    <row r="259" spans="1:7">
      <c r="A259" s="189">
        <v>16</v>
      </c>
      <c r="B259" s="96">
        <v>113</v>
      </c>
      <c r="C259" s="109">
        <v>5567.9999999999973</v>
      </c>
      <c r="D259" s="157">
        <v>63.272727272727245</v>
      </c>
      <c r="E259" s="153">
        <v>70</v>
      </c>
      <c r="F259" s="153">
        <v>18</v>
      </c>
      <c r="G259" s="190"/>
    </row>
    <row r="260" spans="1:7">
      <c r="A260" s="189">
        <v>17</v>
      </c>
      <c r="B260" s="96">
        <v>114</v>
      </c>
      <c r="C260" s="109">
        <v>5591.0000000000027</v>
      </c>
      <c r="D260" s="157">
        <v>63.534090909090942</v>
      </c>
      <c r="E260" s="153">
        <v>69</v>
      </c>
      <c r="F260" s="153">
        <v>19</v>
      </c>
      <c r="G260" s="190"/>
    </row>
    <row r="261" spans="1:7">
      <c r="A261" s="189">
        <v>18</v>
      </c>
      <c r="B261" s="96">
        <v>115</v>
      </c>
      <c r="C261" s="109">
        <v>6229.8</v>
      </c>
      <c r="D261" s="157">
        <v>70.793181818181822</v>
      </c>
      <c r="E261" s="153">
        <v>71</v>
      </c>
      <c r="F261" s="153">
        <v>17</v>
      </c>
      <c r="G261" s="190"/>
    </row>
    <row r="262" spans="1:7">
      <c r="A262" s="189">
        <v>19</v>
      </c>
      <c r="B262" s="96">
        <v>116</v>
      </c>
      <c r="C262" s="109">
        <v>5980.4999999999991</v>
      </c>
      <c r="D262" s="157">
        <v>67.960227272727266</v>
      </c>
      <c r="E262" s="153">
        <v>69</v>
      </c>
      <c r="F262" s="153">
        <v>19</v>
      </c>
      <c r="G262" s="190"/>
    </row>
    <row r="263" spans="1:7">
      <c r="A263" s="189">
        <v>20</v>
      </c>
      <c r="B263" s="96">
        <v>117</v>
      </c>
      <c r="C263" s="109">
        <v>5978.8999999999987</v>
      </c>
      <c r="D263" s="157">
        <v>67.942045454545436</v>
      </c>
      <c r="E263" s="153">
        <v>70</v>
      </c>
      <c r="F263" s="153">
        <v>18</v>
      </c>
      <c r="G263" s="190"/>
    </row>
    <row r="264" spans="1:7">
      <c r="A264" s="189">
        <v>21</v>
      </c>
      <c r="B264" s="96">
        <v>118</v>
      </c>
      <c r="C264" s="109">
        <v>6113.199999999998</v>
      </c>
      <c r="D264" s="157">
        <v>69.46818181818179</v>
      </c>
      <c r="E264" s="153">
        <v>70</v>
      </c>
      <c r="F264" s="153">
        <v>18</v>
      </c>
      <c r="G264" s="190"/>
    </row>
    <row r="265" spans="1:7">
      <c r="A265" s="189">
        <v>22</v>
      </c>
      <c r="B265" s="96">
        <v>119</v>
      </c>
      <c r="C265" s="109">
        <v>6000.4000000000005</v>
      </c>
      <c r="D265" s="157">
        <v>68.186363636363637</v>
      </c>
      <c r="E265" s="153">
        <v>69</v>
      </c>
      <c r="F265" s="153">
        <v>19</v>
      </c>
      <c r="G265" s="190"/>
    </row>
    <row r="266" spans="1:7">
      <c r="A266" s="189">
        <v>23</v>
      </c>
      <c r="B266" s="96">
        <v>120</v>
      </c>
      <c r="C266" s="109">
        <v>5728.2999999999993</v>
      </c>
      <c r="D266" s="157">
        <v>65.094318181818167</v>
      </c>
      <c r="E266" s="153">
        <v>67</v>
      </c>
      <c r="F266" s="153">
        <v>21</v>
      </c>
      <c r="G266" s="190"/>
    </row>
    <row r="267" spans="1:7">
      <c r="A267" s="189">
        <v>0</v>
      </c>
      <c r="B267" s="96">
        <v>121</v>
      </c>
      <c r="C267" s="109">
        <v>5215.6000000000004</v>
      </c>
      <c r="D267" s="157">
        <v>59.268181818181823</v>
      </c>
      <c r="E267" s="153">
        <v>57</v>
      </c>
      <c r="F267" s="153">
        <v>31</v>
      </c>
      <c r="G267" s="190"/>
    </row>
    <row r="268" spans="1:7">
      <c r="A268" s="189">
        <v>1</v>
      </c>
      <c r="B268" s="96">
        <v>122</v>
      </c>
      <c r="C268" s="109">
        <v>5242.8</v>
      </c>
      <c r="D268" s="157">
        <v>59.577272727272728</v>
      </c>
      <c r="E268" s="153">
        <v>58</v>
      </c>
      <c r="F268" s="153">
        <v>30</v>
      </c>
      <c r="G268" s="190"/>
    </row>
    <row r="269" spans="1:7">
      <c r="A269" s="189">
        <v>2</v>
      </c>
      <c r="B269" s="96">
        <v>123</v>
      </c>
      <c r="C269" s="109">
        <v>5241.5999999999976</v>
      </c>
      <c r="D269" s="157">
        <v>59.563636363636334</v>
      </c>
      <c r="E269" s="153">
        <v>60</v>
      </c>
      <c r="F269" s="153">
        <v>28</v>
      </c>
      <c r="G269" s="190"/>
    </row>
    <row r="270" spans="1:7">
      <c r="A270" s="189">
        <v>3</v>
      </c>
      <c r="B270" s="96">
        <v>124</v>
      </c>
      <c r="C270" s="109">
        <v>5184.1000000000013</v>
      </c>
      <c r="D270" s="157">
        <v>58.91022727272729</v>
      </c>
      <c r="E270" s="153">
        <v>59</v>
      </c>
      <c r="F270" s="153">
        <v>29</v>
      </c>
      <c r="G270" s="190"/>
    </row>
    <row r="271" spans="1:7">
      <c r="A271" s="189">
        <v>4</v>
      </c>
      <c r="B271" s="96">
        <v>125</v>
      </c>
      <c r="C271" s="109">
        <v>5156.8</v>
      </c>
      <c r="D271" s="157">
        <v>58.6</v>
      </c>
      <c r="E271" s="153">
        <v>59</v>
      </c>
      <c r="F271" s="153">
        <v>29</v>
      </c>
      <c r="G271" s="190"/>
    </row>
    <row r="272" spans="1:7">
      <c r="A272" s="189">
        <v>5</v>
      </c>
      <c r="B272" s="96">
        <v>126</v>
      </c>
      <c r="C272" s="109">
        <v>5463.5000000000009</v>
      </c>
      <c r="D272" s="157">
        <v>62.08522727272728</v>
      </c>
      <c r="E272" s="153">
        <v>65</v>
      </c>
      <c r="F272" s="153">
        <v>23</v>
      </c>
      <c r="G272" s="190"/>
    </row>
    <row r="273" spans="1:7">
      <c r="A273" s="189">
        <v>6</v>
      </c>
      <c r="B273" s="96">
        <v>127</v>
      </c>
      <c r="C273" s="109">
        <v>5556.5999999999976</v>
      </c>
      <c r="D273" s="157">
        <v>63.143181818181795</v>
      </c>
      <c r="E273" s="153">
        <v>71</v>
      </c>
      <c r="F273" s="153">
        <v>17</v>
      </c>
      <c r="G273" s="190"/>
    </row>
    <row r="274" spans="1:7">
      <c r="A274" s="189">
        <v>7</v>
      </c>
      <c r="B274" s="96">
        <v>128</v>
      </c>
      <c r="C274" s="109">
        <v>5988</v>
      </c>
      <c r="D274" s="157">
        <v>68.045454545454547</v>
      </c>
      <c r="E274" s="153">
        <v>70</v>
      </c>
      <c r="F274" s="153">
        <v>18</v>
      </c>
      <c r="G274" s="190"/>
    </row>
    <row r="275" spans="1:7">
      <c r="A275" s="189">
        <v>8</v>
      </c>
      <c r="B275" s="96">
        <v>129</v>
      </c>
      <c r="C275" s="109">
        <v>5848.0999999999985</v>
      </c>
      <c r="D275" s="157">
        <v>66.455681818181802</v>
      </c>
      <c r="E275" s="153">
        <v>71</v>
      </c>
      <c r="F275" s="153">
        <v>17</v>
      </c>
      <c r="G275" s="190"/>
    </row>
    <row r="276" spans="1:7">
      <c r="A276" s="189">
        <v>9</v>
      </c>
      <c r="B276" s="96">
        <v>130</v>
      </c>
      <c r="C276" s="109">
        <v>5887</v>
      </c>
      <c r="D276" s="157">
        <v>66.897727272727266</v>
      </c>
      <c r="E276" s="153">
        <v>69</v>
      </c>
      <c r="F276" s="153">
        <v>19</v>
      </c>
      <c r="G276" s="190"/>
    </row>
    <row r="277" spans="1:7">
      <c r="A277" s="189">
        <v>10</v>
      </c>
      <c r="B277" s="96">
        <v>131</v>
      </c>
      <c r="C277" s="109">
        <v>5688.0000000000018</v>
      </c>
      <c r="D277" s="157">
        <v>64.636363636363654</v>
      </c>
      <c r="E277" s="153">
        <v>72</v>
      </c>
      <c r="F277" s="153">
        <v>16</v>
      </c>
      <c r="G277" s="190"/>
    </row>
    <row r="278" spans="1:7">
      <c r="A278" s="189">
        <v>11</v>
      </c>
      <c r="B278" s="96">
        <v>132</v>
      </c>
      <c r="C278" s="109">
        <v>5956.5000000000009</v>
      </c>
      <c r="D278" s="157">
        <v>67.687500000000014</v>
      </c>
      <c r="E278" s="153">
        <v>73</v>
      </c>
      <c r="F278" s="153">
        <v>15</v>
      </c>
      <c r="G278" s="190"/>
    </row>
    <row r="279" spans="1:7">
      <c r="A279" s="189">
        <v>12</v>
      </c>
      <c r="B279" s="96">
        <v>133</v>
      </c>
      <c r="C279" s="109">
        <v>5932.7000000000007</v>
      </c>
      <c r="D279" s="157">
        <v>67.417045454545459</v>
      </c>
      <c r="E279" s="153">
        <v>71</v>
      </c>
      <c r="F279" s="153">
        <v>17</v>
      </c>
      <c r="G279" s="190"/>
    </row>
    <row r="280" spans="1:7">
      <c r="A280" s="189">
        <v>13</v>
      </c>
      <c r="B280" s="96">
        <v>134</v>
      </c>
      <c r="C280" s="109">
        <v>5980.1000000000013</v>
      </c>
      <c r="D280" s="157">
        <v>67.95568181818183</v>
      </c>
      <c r="E280" s="153">
        <v>70</v>
      </c>
      <c r="F280" s="153">
        <v>18</v>
      </c>
      <c r="G280" s="190"/>
    </row>
    <row r="281" spans="1:7">
      <c r="A281" s="189">
        <v>14</v>
      </c>
      <c r="B281" s="96">
        <v>135</v>
      </c>
      <c r="C281" s="109">
        <v>5974.7999999999993</v>
      </c>
      <c r="D281" s="157">
        <v>67.895454545454541</v>
      </c>
      <c r="E281" s="153">
        <v>73</v>
      </c>
      <c r="F281" s="153">
        <v>15</v>
      </c>
      <c r="G281" s="190"/>
    </row>
    <row r="282" spans="1:7">
      <c r="A282" s="189">
        <v>15</v>
      </c>
      <c r="B282" s="96">
        <v>136</v>
      </c>
      <c r="C282" s="109">
        <v>5608.0000000000009</v>
      </c>
      <c r="D282" s="157">
        <v>63.727272727272741</v>
      </c>
      <c r="E282" s="153">
        <v>70</v>
      </c>
      <c r="F282" s="153">
        <v>18</v>
      </c>
      <c r="G282" s="190"/>
    </row>
    <row r="283" spans="1:7">
      <c r="A283" s="189">
        <v>16</v>
      </c>
      <c r="B283" s="96">
        <v>137</v>
      </c>
      <c r="C283" s="109">
        <v>4987.7999999999984</v>
      </c>
      <c r="D283" s="157">
        <v>56.679545454545433</v>
      </c>
      <c r="E283" s="153">
        <v>67</v>
      </c>
      <c r="F283" s="153">
        <v>21</v>
      </c>
      <c r="G283" s="190"/>
    </row>
    <row r="284" spans="1:7">
      <c r="A284" s="189">
        <v>17</v>
      </c>
      <c r="B284" s="96">
        <v>138</v>
      </c>
      <c r="C284" s="109">
        <v>4917.2</v>
      </c>
      <c r="D284" s="157">
        <v>55.877272727272725</v>
      </c>
      <c r="E284" s="153">
        <v>65</v>
      </c>
      <c r="F284" s="153">
        <v>23</v>
      </c>
      <c r="G284" s="190"/>
    </row>
    <row r="285" spans="1:7">
      <c r="A285" s="189">
        <v>18</v>
      </c>
      <c r="B285" s="96">
        <v>139</v>
      </c>
      <c r="C285" s="109">
        <v>4755.5999999999995</v>
      </c>
      <c r="D285" s="157">
        <v>54.040909090909082</v>
      </c>
      <c r="E285" s="153">
        <v>64</v>
      </c>
      <c r="F285" s="153">
        <v>24</v>
      </c>
      <c r="G285" s="190"/>
    </row>
    <row r="286" spans="1:7">
      <c r="A286" s="189">
        <v>19</v>
      </c>
      <c r="B286" s="96">
        <v>140</v>
      </c>
      <c r="C286" s="109">
        <v>4750.5</v>
      </c>
      <c r="D286" s="157">
        <v>53.982954545454547</v>
      </c>
      <c r="E286" s="153">
        <v>65</v>
      </c>
      <c r="F286" s="153">
        <v>23</v>
      </c>
      <c r="G286" s="190"/>
    </row>
    <row r="287" spans="1:7">
      <c r="A287" s="189">
        <v>20</v>
      </c>
      <c r="B287" s="96">
        <v>141</v>
      </c>
      <c r="C287" s="109">
        <v>4747.4000000000005</v>
      </c>
      <c r="D287" s="157">
        <v>53.947727272727278</v>
      </c>
      <c r="E287" s="153">
        <v>62</v>
      </c>
      <c r="F287" s="153">
        <v>26</v>
      </c>
      <c r="G287" s="190"/>
    </row>
    <row r="288" spans="1:7">
      <c r="A288" s="189">
        <v>21</v>
      </c>
      <c r="B288" s="96">
        <v>142</v>
      </c>
      <c r="C288" s="109">
        <v>4722.0000000000009</v>
      </c>
      <c r="D288" s="157">
        <v>53.659090909090921</v>
      </c>
      <c r="E288" s="153">
        <v>61</v>
      </c>
      <c r="F288" s="153">
        <v>27</v>
      </c>
      <c r="G288" s="190"/>
    </row>
    <row r="289" spans="1:7">
      <c r="A289" s="189">
        <v>22</v>
      </c>
      <c r="B289" s="96">
        <v>143</v>
      </c>
      <c r="C289" s="109">
        <v>4836.4000000000005</v>
      </c>
      <c r="D289" s="157">
        <v>54.959090909090918</v>
      </c>
      <c r="E289" s="153">
        <v>63</v>
      </c>
      <c r="F289" s="153">
        <v>25</v>
      </c>
      <c r="G289" s="190"/>
    </row>
    <row r="290" spans="1:7">
      <c r="A290" s="189">
        <v>23</v>
      </c>
      <c r="B290" s="96">
        <v>144</v>
      </c>
      <c r="C290" s="109">
        <v>4418.6999999999989</v>
      </c>
      <c r="D290" s="157">
        <v>50.212499999999984</v>
      </c>
      <c r="E290" s="153">
        <v>59</v>
      </c>
      <c r="F290" s="153">
        <v>29</v>
      </c>
      <c r="G290" s="190"/>
    </row>
    <row r="291" spans="1:7">
      <c r="A291" s="189">
        <v>0</v>
      </c>
      <c r="B291" s="96">
        <v>145</v>
      </c>
      <c r="C291" s="109">
        <v>4079.2999999999997</v>
      </c>
      <c r="D291" s="157">
        <v>46.355681818181814</v>
      </c>
      <c r="E291" s="153">
        <v>55</v>
      </c>
      <c r="F291" s="153">
        <v>33</v>
      </c>
      <c r="G291" s="190"/>
    </row>
    <row r="292" spans="1:7">
      <c r="A292" s="189">
        <v>1</v>
      </c>
      <c r="B292" s="96">
        <v>146</v>
      </c>
      <c r="C292" s="109">
        <v>3989.2000000000007</v>
      </c>
      <c r="D292" s="157">
        <v>45.331818181818193</v>
      </c>
      <c r="E292" s="153">
        <v>54</v>
      </c>
      <c r="F292" s="153">
        <v>34</v>
      </c>
      <c r="G292" s="190"/>
    </row>
    <row r="293" spans="1:7">
      <c r="A293" s="189">
        <v>2</v>
      </c>
      <c r="B293" s="96">
        <v>147</v>
      </c>
      <c r="C293" s="109">
        <v>4246.2000000000007</v>
      </c>
      <c r="D293" s="157">
        <v>48.252272727272732</v>
      </c>
      <c r="E293" s="153">
        <v>55</v>
      </c>
      <c r="F293" s="153">
        <v>33</v>
      </c>
      <c r="G293" s="190"/>
    </row>
    <row r="294" spans="1:7">
      <c r="A294" s="189">
        <v>3</v>
      </c>
      <c r="B294" s="96">
        <v>148</v>
      </c>
      <c r="C294" s="109">
        <v>4221.8999999999996</v>
      </c>
      <c r="D294" s="157">
        <v>47.976136363636357</v>
      </c>
      <c r="E294" s="153">
        <v>56</v>
      </c>
      <c r="F294" s="153">
        <v>32</v>
      </c>
      <c r="G294" s="190"/>
    </row>
    <row r="295" spans="1:7">
      <c r="A295" s="189">
        <v>4</v>
      </c>
      <c r="B295" s="96">
        <v>149</v>
      </c>
      <c r="C295" s="109">
        <v>4212.5</v>
      </c>
      <c r="D295" s="157">
        <v>47.86931818181818</v>
      </c>
      <c r="E295" s="153">
        <v>55</v>
      </c>
      <c r="F295" s="153">
        <v>33</v>
      </c>
      <c r="G295" s="190"/>
    </row>
    <row r="296" spans="1:7">
      <c r="A296" s="189">
        <v>5</v>
      </c>
      <c r="B296" s="96">
        <v>150</v>
      </c>
      <c r="C296" s="109">
        <v>4153.8</v>
      </c>
      <c r="D296" s="157">
        <v>47.202272727272728</v>
      </c>
      <c r="E296" s="153">
        <v>56</v>
      </c>
      <c r="F296" s="153">
        <v>32</v>
      </c>
      <c r="G296" s="190"/>
    </row>
    <row r="297" spans="1:7">
      <c r="A297" s="189">
        <v>6</v>
      </c>
      <c r="B297" s="96">
        <v>151</v>
      </c>
      <c r="C297" s="109">
        <v>4046.9</v>
      </c>
      <c r="D297" s="157">
        <v>45.987500000000004</v>
      </c>
      <c r="E297" s="153">
        <v>56</v>
      </c>
      <c r="F297" s="153">
        <v>32</v>
      </c>
      <c r="G297" s="190"/>
    </row>
    <row r="298" spans="1:7">
      <c r="A298" s="189">
        <v>7</v>
      </c>
      <c r="B298" s="96">
        <v>152</v>
      </c>
      <c r="C298" s="109">
        <v>4420.7999999999993</v>
      </c>
      <c r="D298" s="157">
        <v>50.236363636363627</v>
      </c>
      <c r="E298" s="153">
        <v>58</v>
      </c>
      <c r="F298" s="153">
        <v>30</v>
      </c>
      <c r="G298" s="190"/>
    </row>
    <row r="299" spans="1:7">
      <c r="A299" s="189">
        <v>8</v>
      </c>
      <c r="B299" s="96">
        <v>153</v>
      </c>
      <c r="C299" s="109">
        <v>4289.7999999999993</v>
      </c>
      <c r="D299" s="157">
        <v>48.747727272727268</v>
      </c>
      <c r="E299" s="153">
        <v>56</v>
      </c>
      <c r="F299" s="153">
        <v>32</v>
      </c>
      <c r="G299" s="190"/>
    </row>
    <row r="300" spans="1:7">
      <c r="A300" s="189">
        <v>9</v>
      </c>
      <c r="B300" s="96">
        <v>154</v>
      </c>
      <c r="C300" s="109">
        <v>4588.4999999999991</v>
      </c>
      <c r="D300" s="157">
        <v>52.142045454545446</v>
      </c>
      <c r="E300" s="153">
        <v>58</v>
      </c>
      <c r="F300" s="153">
        <v>30</v>
      </c>
      <c r="G300" s="190"/>
    </row>
    <row r="301" spans="1:7">
      <c r="A301" s="189">
        <v>10</v>
      </c>
      <c r="B301" s="96">
        <v>155</v>
      </c>
      <c r="C301" s="109">
        <v>4606.9000000000005</v>
      </c>
      <c r="D301" s="157">
        <v>52.351136363636371</v>
      </c>
      <c r="E301" s="153">
        <v>58</v>
      </c>
      <c r="F301" s="153">
        <v>30</v>
      </c>
      <c r="G301" s="190"/>
    </row>
    <row r="302" spans="1:7">
      <c r="A302" s="189">
        <v>11</v>
      </c>
      <c r="B302" s="96">
        <v>156</v>
      </c>
      <c r="C302" s="109">
        <v>4540.1999999999989</v>
      </c>
      <c r="D302" s="157">
        <v>51.593181818181804</v>
      </c>
      <c r="E302" s="153">
        <v>58</v>
      </c>
      <c r="F302" s="153">
        <v>30</v>
      </c>
      <c r="G302" s="190"/>
    </row>
    <row r="303" spans="1:7">
      <c r="A303" s="189">
        <v>12</v>
      </c>
      <c r="B303" s="96">
        <v>157</v>
      </c>
      <c r="C303" s="109">
        <v>4430.3999999999987</v>
      </c>
      <c r="D303" s="157">
        <v>50.34545454545453</v>
      </c>
      <c r="E303" s="153">
        <v>57</v>
      </c>
      <c r="F303" s="153">
        <v>31</v>
      </c>
      <c r="G303" s="190"/>
    </row>
    <row r="304" spans="1:7">
      <c r="A304" s="189">
        <v>13</v>
      </c>
      <c r="B304" s="96">
        <v>158</v>
      </c>
      <c r="C304" s="109">
        <v>4249.0999999999995</v>
      </c>
      <c r="D304" s="157">
        <v>48.285227272727269</v>
      </c>
      <c r="E304" s="153">
        <v>55</v>
      </c>
      <c r="F304" s="153">
        <v>33</v>
      </c>
      <c r="G304" s="190"/>
    </row>
    <row r="305" spans="1:7">
      <c r="A305" s="189">
        <v>14</v>
      </c>
      <c r="B305" s="96">
        <v>159</v>
      </c>
      <c r="C305" s="109">
        <v>4290.5999999999995</v>
      </c>
      <c r="D305" s="157">
        <v>48.756818181818176</v>
      </c>
      <c r="E305" s="153">
        <v>55</v>
      </c>
      <c r="F305" s="153">
        <v>33</v>
      </c>
      <c r="G305" s="190"/>
    </row>
    <row r="306" spans="1:7">
      <c r="A306" s="189">
        <v>15</v>
      </c>
      <c r="B306" s="96">
        <v>160</v>
      </c>
      <c r="C306" s="109">
        <v>4122.9999999999991</v>
      </c>
      <c r="D306" s="157">
        <v>46.85227272727272</v>
      </c>
      <c r="E306" s="153">
        <v>53</v>
      </c>
      <c r="F306" s="153">
        <v>35</v>
      </c>
      <c r="G306" s="190"/>
    </row>
    <row r="307" spans="1:7">
      <c r="A307" s="189">
        <v>16</v>
      </c>
      <c r="B307" s="96">
        <v>161</v>
      </c>
      <c r="C307" s="109">
        <v>3938</v>
      </c>
      <c r="D307" s="157">
        <v>44.75</v>
      </c>
      <c r="E307" s="153">
        <v>50</v>
      </c>
      <c r="F307" s="153">
        <v>38</v>
      </c>
      <c r="G307" s="190"/>
    </row>
    <row r="308" spans="1:7">
      <c r="A308" s="189">
        <v>17</v>
      </c>
      <c r="B308" s="96">
        <v>162</v>
      </c>
      <c r="C308" s="109">
        <v>3848.2000000000012</v>
      </c>
      <c r="D308" s="157">
        <v>43.729545454545466</v>
      </c>
      <c r="E308" s="153">
        <v>54</v>
      </c>
      <c r="F308" s="153">
        <v>34</v>
      </c>
      <c r="G308" s="190"/>
    </row>
    <row r="309" spans="1:7">
      <c r="A309" s="189">
        <v>18</v>
      </c>
      <c r="B309" s="96">
        <v>163</v>
      </c>
      <c r="C309" s="109">
        <v>4438.4999999999982</v>
      </c>
      <c r="D309" s="157">
        <v>50.437499999999979</v>
      </c>
      <c r="E309" s="153">
        <v>58</v>
      </c>
      <c r="F309" s="153">
        <v>30</v>
      </c>
      <c r="G309" s="190"/>
    </row>
    <row r="310" spans="1:7">
      <c r="A310" s="189">
        <v>19</v>
      </c>
      <c r="B310" s="96">
        <v>164</v>
      </c>
      <c r="C310" s="109">
        <v>5219.2999999999993</v>
      </c>
      <c r="D310" s="157">
        <v>59.310227272727268</v>
      </c>
      <c r="E310" s="153">
        <v>59</v>
      </c>
      <c r="F310" s="153">
        <v>29</v>
      </c>
      <c r="G310" s="190"/>
    </row>
    <row r="311" spans="1:7">
      <c r="A311" s="189">
        <v>20</v>
      </c>
      <c r="B311" s="96">
        <v>165</v>
      </c>
      <c r="C311" s="109">
        <v>5141.4000000000005</v>
      </c>
      <c r="D311" s="157">
        <v>58.425000000000004</v>
      </c>
      <c r="E311" s="153">
        <v>60</v>
      </c>
      <c r="F311" s="153">
        <v>28</v>
      </c>
      <c r="G311" s="190"/>
    </row>
    <row r="312" spans="1:7">
      <c r="A312" s="189">
        <v>21</v>
      </c>
      <c r="B312" s="96">
        <v>166</v>
      </c>
      <c r="C312" s="109">
        <v>5214.1000000000004</v>
      </c>
      <c r="D312" s="157">
        <v>59.25113636363637</v>
      </c>
      <c r="E312" s="153">
        <v>60</v>
      </c>
      <c r="F312" s="153">
        <v>28</v>
      </c>
      <c r="G312" s="190"/>
    </row>
    <row r="313" spans="1:7">
      <c r="A313" s="189">
        <v>22</v>
      </c>
      <c r="B313" s="96">
        <v>167</v>
      </c>
      <c r="C313" s="109">
        <v>4957.7999999999993</v>
      </c>
      <c r="D313" s="157">
        <v>56.338636363636354</v>
      </c>
      <c r="E313" s="153">
        <v>59</v>
      </c>
      <c r="F313" s="153">
        <v>29</v>
      </c>
      <c r="G313" s="190"/>
    </row>
    <row r="314" spans="1:7">
      <c r="A314" s="191">
        <v>23</v>
      </c>
      <c r="B314" s="149">
        <v>168</v>
      </c>
      <c r="C314" s="111">
        <v>3615.4000000000005</v>
      </c>
      <c r="D314" s="158">
        <v>41.084090909090918</v>
      </c>
      <c r="E314" s="155">
        <v>55</v>
      </c>
      <c r="F314" s="155">
        <v>33</v>
      </c>
      <c r="G314" s="192"/>
    </row>
  </sheetData>
  <mergeCells count="32">
    <mergeCell ref="B56:G56"/>
    <mergeCell ref="A119:B119"/>
    <mergeCell ref="A120:B120"/>
    <mergeCell ref="A121:B121"/>
    <mergeCell ref="M48:O48"/>
    <mergeCell ref="M49:O49"/>
    <mergeCell ref="M50:O50"/>
    <mergeCell ref="M51:O51"/>
    <mergeCell ref="M52:O52"/>
    <mergeCell ref="M53:O53"/>
    <mergeCell ref="A24:B24"/>
    <mergeCell ref="A25:B25"/>
    <mergeCell ref="A26:B26"/>
    <mergeCell ref="A27:B27"/>
    <mergeCell ref="A28:B28"/>
    <mergeCell ref="M24:O24"/>
    <mergeCell ref="M25:O25"/>
    <mergeCell ref="M26:O26"/>
    <mergeCell ref="M27:O27"/>
    <mergeCell ref="M28:O28"/>
    <mergeCell ref="A29:B29"/>
    <mergeCell ref="M47:O47"/>
    <mergeCell ref="A31:B31"/>
    <mergeCell ref="A32:B32"/>
    <mergeCell ref="A33:B33"/>
    <mergeCell ref="M29:O29"/>
    <mergeCell ref="M31:N31"/>
    <mergeCell ref="M32:N32"/>
    <mergeCell ref="M33:N33"/>
    <mergeCell ref="N43:U43"/>
    <mergeCell ref="N44:U44"/>
    <mergeCell ref="N45:U4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9" sqref="A9"/>
    </sheetView>
  </sheetViews>
  <sheetFormatPr defaultRowHeight="14.4"/>
  <cols>
    <col min="1" max="1" width="182.109375" bestFit="1" customWidth="1"/>
  </cols>
  <sheetData>
    <row r="1" spans="1:1">
      <c r="A1" s="210" t="s">
        <v>284</v>
      </c>
    </row>
  </sheetData>
  <hyperlinks>
    <hyperlink ref="A1" r:id="rId1" tooltip="click to email retrofit@ieso.ca" xr:uid="{00000000-0004-0000-04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052BF1-BBC9-49F7-80AB-5F673CEB735D}">
  <ds:schemaRefs>
    <ds:schemaRef ds:uri="http://schemas.microsoft.com/sharepoint/v3/contenttype/forms"/>
  </ds:schemaRefs>
</ds:datastoreItem>
</file>

<file path=customXml/itemProps2.xml><?xml version="1.0" encoding="utf-8"?>
<ds:datastoreItem xmlns:ds="http://schemas.openxmlformats.org/officeDocument/2006/customXml" ds:itemID="{9B012616-75E3-4524-A2B8-A8B2F878A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71DA4-6F15-42D3-B2FB-125FC978311A}">
  <ds:schemaRefs>
    <ds:schemaRef ds:uri="http://schemas.openxmlformats.org/package/2006/metadata/core-properties"/>
    <ds:schemaRef ds:uri="http://purl.org/dc/terms/"/>
    <ds:schemaRef ds:uri="http://schemas.microsoft.com/office/2006/metadata/properties"/>
    <ds:schemaRef ds:uri="http://schemas.microsoft.com/office/infopath/2007/PartnerControls"/>
    <ds:schemaRef ds:uri="3a0a26ad-673a-4fec-bfcd-9999ec2c4634"/>
    <ds:schemaRef ds:uri="http://schemas.microsoft.com/office/2006/documentManagement/types"/>
    <ds:schemaRef ds:uri="http://purl.org/dc/dcmitype/"/>
    <ds:schemaRef ds:uri="cdf8d4ea-74c8-4be1-aeb0-bca783ecfdd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CompAirPrescriptive</vt:lpstr>
      <vt:lpstr>Version Control</vt:lpstr>
      <vt:lpstr>IncentiveTweak</vt:lpstr>
      <vt:lpstr>BackEnd</vt:lpstr>
      <vt:lpstr>Accessibility Disclaimer</vt:lpstr>
      <vt:lpstr>CompAirPrescriptive!Print_Area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2024-12-18T19:28:08Z</cp:lastPrinted>
  <dcterms:created xsi:type="dcterms:W3CDTF">2015-10-25T01:56:38Z</dcterms:created>
  <dcterms:modified xsi:type="dcterms:W3CDTF">2024-12-18T19:28:11Z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